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IMAS\Coast Weeks 2014\Excel Files\"/>
    </mc:Choice>
  </mc:AlternateContent>
  <bookViews>
    <workbookView xWindow="0" yWindow="0" windowWidth="20490" windowHeight="7755" firstSheet="6" activeTab="9"/>
  </bookViews>
  <sheets>
    <sheet name="Brewer's Bay" sheetId="1" r:id="rId1"/>
    <sheet name="Hassel Island " sheetId="2" r:id="rId2"/>
    <sheet name="Perseverance Bay" sheetId="3" r:id="rId3"/>
    <sheet name="Coki Bay Water Bay" sheetId="4" r:id="rId4"/>
    <sheet name="Red Hook Salt Pond" sheetId="5" r:id="rId5"/>
    <sheet name="Mandahl and Tutu Bay" sheetId="6" r:id="rId6"/>
    <sheet name="Vessup Bay" sheetId="8" r:id="rId7"/>
    <sheet name="Lindberg" sheetId="9" r:id="rId8"/>
    <sheet name="Eudora Kean Sapphire Beach" sheetId="10" r:id="rId9"/>
    <sheet name="Hassel Island Careening Cove" sheetId="11" r:id="rId10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1" l="1"/>
  <c r="P2" i="11"/>
  <c r="L4" i="11"/>
  <c r="L3" i="11"/>
  <c r="L2" i="11"/>
  <c r="H5" i="11"/>
  <c r="H4" i="11"/>
  <c r="F4" i="11"/>
  <c r="F3" i="11"/>
  <c r="D5" i="11"/>
  <c r="D4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6" i="11"/>
  <c r="B5" i="11"/>
  <c r="B3" i="11"/>
  <c r="J2" i="11"/>
  <c r="F6" i="11"/>
  <c r="F5" i="11"/>
  <c r="B7" i="11"/>
  <c r="B2" i="11"/>
  <c r="J4" i="11"/>
  <c r="H6" i="11"/>
  <c r="F2" i="11"/>
  <c r="D3" i="11"/>
  <c r="B4" i="11"/>
  <c r="H3" i="11"/>
  <c r="H2" i="11"/>
  <c r="J5" i="11"/>
  <c r="D2" i="11"/>
  <c r="S2" i="11"/>
  <c r="R2" i="11"/>
  <c r="L4" i="10"/>
  <c r="L3" i="10"/>
  <c r="L2" i="10"/>
  <c r="J5" i="10"/>
  <c r="J4" i="10"/>
  <c r="J3" i="10"/>
  <c r="J2" i="10"/>
  <c r="H8" i="10"/>
  <c r="H7" i="10"/>
  <c r="H6" i="10"/>
  <c r="H5" i="10"/>
  <c r="H4" i="10"/>
  <c r="H3" i="10"/>
  <c r="H2" i="10"/>
  <c r="F6" i="10"/>
  <c r="F5" i="10"/>
  <c r="F4" i="10"/>
  <c r="F3" i="10"/>
  <c r="F2" i="10"/>
  <c r="D5" i="10"/>
  <c r="D4" i="10"/>
  <c r="D3" i="10"/>
  <c r="D2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2" i="5"/>
  <c r="B3" i="5"/>
  <c r="B4" i="5"/>
  <c r="B5" i="5"/>
  <c r="B6" i="5"/>
  <c r="B7" i="5"/>
  <c r="J2" i="9"/>
  <c r="H8" i="9"/>
  <c r="H6" i="9"/>
  <c r="H2" i="9"/>
  <c r="F4" i="9"/>
  <c r="F3" i="9"/>
  <c r="D5" i="9"/>
  <c r="D4" i="9"/>
  <c r="D3" i="9"/>
  <c r="D2" i="9"/>
  <c r="B18" i="9"/>
  <c r="B16" i="9"/>
  <c r="Q2" i="9"/>
  <c r="P2" i="9"/>
  <c r="L3" i="9"/>
  <c r="L2" i="9"/>
  <c r="J3" i="9"/>
  <c r="H5" i="9"/>
  <c r="F5" i="9"/>
  <c r="F2" i="9"/>
  <c r="B17" i="9"/>
  <c r="B15" i="9"/>
  <c r="B13" i="9"/>
  <c r="B12" i="9"/>
  <c r="B11" i="9"/>
  <c r="B10" i="9"/>
  <c r="B9" i="9"/>
  <c r="B8" i="9"/>
  <c r="B7" i="9"/>
  <c r="B6" i="9"/>
  <c r="B5" i="9"/>
  <c r="B4" i="9"/>
  <c r="B3" i="9"/>
  <c r="L4" i="9"/>
  <c r="H3" i="9"/>
  <c r="F6" i="9"/>
  <c r="B19" i="9"/>
  <c r="B14" i="9"/>
  <c r="B2" i="9"/>
  <c r="H4" i="9"/>
  <c r="P2" i="1"/>
  <c r="O2" i="1"/>
  <c r="N2" i="1"/>
  <c r="L4" i="1"/>
  <c r="L3" i="1"/>
  <c r="L2" i="1"/>
  <c r="J3" i="1"/>
  <c r="H5" i="1"/>
  <c r="H3" i="1"/>
  <c r="F6" i="1"/>
  <c r="B19" i="1"/>
  <c r="B14" i="1"/>
  <c r="B13" i="1"/>
  <c r="B12" i="1"/>
  <c r="B11" i="1"/>
  <c r="B10" i="1"/>
  <c r="B9" i="1"/>
  <c r="B8" i="1"/>
  <c r="B7" i="1"/>
  <c r="B6" i="1"/>
  <c r="B3" i="1"/>
  <c r="B2" i="1"/>
  <c r="Q2" i="6"/>
  <c r="P2" i="6"/>
  <c r="H6" i="6"/>
  <c r="B12" i="6"/>
  <c r="L4" i="6"/>
  <c r="L3" i="6"/>
  <c r="L2" i="6"/>
  <c r="J2" i="6"/>
  <c r="F6" i="6"/>
  <c r="F3" i="6"/>
  <c r="F2" i="6"/>
  <c r="D5" i="6"/>
  <c r="D4" i="6"/>
  <c r="B19" i="6"/>
  <c r="B18" i="6"/>
  <c r="B17" i="6"/>
  <c r="B16" i="6"/>
  <c r="B15" i="6"/>
  <c r="B14" i="6"/>
  <c r="B13" i="6"/>
  <c r="B11" i="6"/>
  <c r="B10" i="6"/>
  <c r="B8" i="6"/>
  <c r="B7" i="6"/>
  <c r="B6" i="6"/>
  <c r="B3" i="6"/>
  <c r="B2" i="6"/>
  <c r="D2" i="6"/>
  <c r="B5" i="6"/>
  <c r="B4" i="6"/>
  <c r="H2" i="6"/>
  <c r="B9" i="6"/>
  <c r="H5" i="6"/>
  <c r="H3" i="6"/>
  <c r="F5" i="6"/>
  <c r="F4" i="6"/>
  <c r="D3" i="6"/>
  <c r="S2" i="6"/>
  <c r="H8" i="6"/>
  <c r="Q2" i="1"/>
  <c r="H4" i="1"/>
  <c r="B18" i="1"/>
  <c r="B17" i="1"/>
  <c r="B16" i="1"/>
  <c r="B15" i="1"/>
  <c r="B4" i="1"/>
  <c r="J2" i="1"/>
  <c r="F4" i="1"/>
  <c r="F3" i="1"/>
  <c r="J5" i="1"/>
  <c r="H4" i="6"/>
  <c r="Q2" i="5"/>
  <c r="P2" i="5"/>
  <c r="J4" i="5"/>
  <c r="J3" i="5"/>
  <c r="H8" i="5"/>
  <c r="H3" i="5"/>
  <c r="D2" i="5"/>
  <c r="B19" i="5"/>
  <c r="B18" i="5"/>
  <c r="B17" i="5"/>
  <c r="B15" i="5"/>
  <c r="B14" i="5"/>
  <c r="B13" i="5"/>
  <c r="B12" i="5"/>
  <c r="B11" i="5"/>
  <c r="L3" i="5"/>
  <c r="L2" i="5"/>
  <c r="J2" i="5"/>
  <c r="F4" i="5"/>
  <c r="B16" i="5"/>
  <c r="B10" i="5"/>
  <c r="B8" i="5"/>
  <c r="L4" i="5"/>
  <c r="H6" i="5"/>
  <c r="H2" i="5"/>
  <c r="F5" i="5"/>
  <c r="D5" i="5"/>
  <c r="B9" i="5"/>
  <c r="S2" i="5"/>
  <c r="H5" i="5"/>
  <c r="H4" i="5"/>
  <c r="F6" i="5"/>
  <c r="F2" i="5"/>
  <c r="D4" i="5"/>
  <c r="F3" i="5"/>
  <c r="D3" i="5"/>
  <c r="J5" i="5"/>
  <c r="Q2" i="4"/>
  <c r="P2" i="4"/>
  <c r="L4" i="4"/>
  <c r="L3" i="4"/>
  <c r="L2" i="4"/>
  <c r="J5" i="4"/>
  <c r="J4" i="4"/>
  <c r="H6" i="4"/>
  <c r="H5" i="4"/>
  <c r="F6" i="4"/>
  <c r="F4" i="4"/>
  <c r="F3" i="4"/>
  <c r="D5" i="4"/>
  <c r="D3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S2" i="4"/>
  <c r="H8" i="4"/>
  <c r="D2" i="4"/>
  <c r="H2" i="4"/>
  <c r="H4" i="4"/>
  <c r="F5" i="4"/>
  <c r="D4" i="4"/>
  <c r="F2" i="4"/>
  <c r="H3" i="4"/>
  <c r="J2" i="4"/>
  <c r="Q2" i="3"/>
  <c r="L4" i="3"/>
  <c r="L3" i="3"/>
  <c r="L2" i="3"/>
  <c r="F6" i="3"/>
  <c r="F5" i="3"/>
  <c r="F3" i="3"/>
  <c r="D5" i="3"/>
  <c r="D4" i="3"/>
  <c r="D3" i="3"/>
  <c r="D2" i="3"/>
  <c r="B18" i="3"/>
  <c r="B16" i="3"/>
  <c r="B14" i="3"/>
  <c r="B11" i="3"/>
  <c r="B10" i="3"/>
  <c r="B9" i="3"/>
  <c r="B8" i="3"/>
  <c r="B7" i="3"/>
  <c r="B6" i="3"/>
  <c r="B4" i="3"/>
  <c r="B3" i="3"/>
  <c r="H6" i="3"/>
  <c r="H5" i="3"/>
  <c r="H2" i="3"/>
  <c r="B19" i="3"/>
  <c r="B15" i="3"/>
  <c r="B5" i="3"/>
  <c r="B12" i="3"/>
  <c r="F4" i="3"/>
  <c r="B13" i="3"/>
  <c r="J5" i="3"/>
  <c r="B17" i="3"/>
  <c r="B2" i="3"/>
  <c r="P2" i="3"/>
  <c r="S2" i="3"/>
  <c r="L4" i="2"/>
  <c r="L3" i="2"/>
  <c r="L2" i="2"/>
  <c r="J3" i="2"/>
  <c r="H6" i="2"/>
  <c r="H3" i="2"/>
  <c r="F3" i="2"/>
  <c r="D5" i="2"/>
  <c r="B19" i="2"/>
  <c r="B18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D4" i="2"/>
  <c r="D2" i="2"/>
  <c r="B2" i="2"/>
  <c r="H5" i="2"/>
  <c r="F5" i="2"/>
  <c r="F4" i="2"/>
  <c r="H12" i="2"/>
  <c r="H2" i="2"/>
  <c r="H4" i="2"/>
  <c r="J4" i="2"/>
  <c r="J2" i="2"/>
  <c r="F6" i="2"/>
  <c r="B17" i="2"/>
  <c r="H12" i="1"/>
  <c r="H16" i="1"/>
  <c r="H15" i="1"/>
  <c r="H9" i="1"/>
  <c r="H13" i="1"/>
  <c r="H14" i="1"/>
  <c r="H6" i="1"/>
  <c r="H10" i="1"/>
  <c r="H2" i="1"/>
  <c r="H11" i="1"/>
  <c r="F5" i="1"/>
  <c r="F2" i="1"/>
  <c r="B5" i="1"/>
</calcChain>
</file>

<file path=xl/sharedStrings.xml><?xml version="1.0" encoding="utf-8"?>
<sst xmlns="http://schemas.openxmlformats.org/spreadsheetml/2006/main" count="645" uniqueCount="88">
  <si>
    <t>Cigarette Butts</t>
  </si>
  <si>
    <t>Food wrappers</t>
  </si>
  <si>
    <t>Take out containers (plastic)</t>
  </si>
  <si>
    <t>Take out containers (foam)</t>
  </si>
  <si>
    <t>Bottle caps (plastic)</t>
  </si>
  <si>
    <t>Bottle caps (Metal)</t>
  </si>
  <si>
    <t>Lids (plastic)</t>
  </si>
  <si>
    <t>Straws/stirrers</t>
  </si>
  <si>
    <t>Fork, knives, spoons</t>
  </si>
  <si>
    <t>Beverage bottles (plastic)</t>
  </si>
  <si>
    <t>Beverage bottles (glass)</t>
  </si>
  <si>
    <t>Beverage cans</t>
  </si>
  <si>
    <t>Grocery bags (plastic)</t>
  </si>
  <si>
    <t>Other plastic bags</t>
  </si>
  <si>
    <t>Paper bags</t>
  </si>
  <si>
    <t>Cups and plates (paper)</t>
  </si>
  <si>
    <t>Cups and plates (plastic)</t>
  </si>
  <si>
    <t>Cups and plates (foam)</t>
  </si>
  <si>
    <t>Total</t>
  </si>
  <si>
    <t>Fishing gear</t>
  </si>
  <si>
    <t>Most likely to find items</t>
  </si>
  <si>
    <t>Fishing buoys, pots, and traps</t>
  </si>
  <si>
    <t>Fishing net and pieces</t>
  </si>
  <si>
    <t xml:space="preserve">Fishing line </t>
  </si>
  <si>
    <t>Rope</t>
  </si>
  <si>
    <t xml:space="preserve">Packaging materials </t>
  </si>
  <si>
    <t>6-Pack holders</t>
  </si>
  <si>
    <t>Other plastic/Foam packaging</t>
  </si>
  <si>
    <t>Other plastic bottles (oil, bleach, etc.)</t>
  </si>
  <si>
    <t>Strapping bands</t>
  </si>
  <si>
    <t>Tobacco packaging/wrap</t>
  </si>
  <si>
    <t xml:space="preserve">Other trash </t>
  </si>
  <si>
    <t xml:space="preserve">Appliances </t>
  </si>
  <si>
    <t>Balloons</t>
  </si>
  <si>
    <t>Cigar tips</t>
  </si>
  <si>
    <t>Construction materials</t>
  </si>
  <si>
    <t>Fireworks</t>
  </si>
  <si>
    <t>Tires</t>
  </si>
  <si>
    <t>Cigarette lighters</t>
  </si>
  <si>
    <t>Furniture</t>
  </si>
  <si>
    <t>Paper</t>
  </si>
  <si>
    <t xml:space="preserve">Foil </t>
  </si>
  <si>
    <t>Fabric</t>
  </si>
  <si>
    <t>Personal Hygiene</t>
  </si>
  <si>
    <t>Condoms</t>
  </si>
  <si>
    <t>Diapers</t>
  </si>
  <si>
    <t>Syringes</t>
  </si>
  <si>
    <t>Tampons/Tampons applicators</t>
  </si>
  <si>
    <t>Writing utensils</t>
  </si>
  <si>
    <t>Small metal</t>
  </si>
  <si>
    <t>Wood</t>
  </si>
  <si>
    <t>Small plastic</t>
  </si>
  <si>
    <t>Tiny trashless than 2.5 cm</t>
  </si>
  <si>
    <t>Foam pieces</t>
  </si>
  <si>
    <t>Glass pieces</t>
  </si>
  <si>
    <t>Plastic pieces</t>
  </si>
  <si>
    <t>Items of local concern</t>
  </si>
  <si>
    <t>Glass bottles</t>
  </si>
  <si>
    <t>Party items</t>
  </si>
  <si>
    <t>Bottles caps (metals)</t>
  </si>
  <si>
    <t xml:space="preserve">Food items (cuttlery) </t>
  </si>
  <si>
    <t>Number of trash bags filled</t>
  </si>
  <si>
    <t xml:space="preserve">Weight of trash collected (lbs) </t>
  </si>
  <si>
    <t>Distance cleaned (miles</t>
  </si>
  <si>
    <t>Total number of volunteers</t>
  </si>
  <si>
    <t>Dead/Injured animal</t>
  </si>
  <si>
    <t>Status</t>
  </si>
  <si>
    <t>Entangled</t>
  </si>
  <si>
    <t>Type of entanglement item</t>
  </si>
  <si>
    <t>Sea gull</t>
  </si>
  <si>
    <t>Dead</t>
  </si>
  <si>
    <t>No</t>
  </si>
  <si>
    <t>Bottle caps plastic</t>
  </si>
  <si>
    <t xml:space="preserve">Foam pieces </t>
  </si>
  <si>
    <t>Dead or Injured Animal</t>
  </si>
  <si>
    <t xml:space="preserve">Pidgeon </t>
  </si>
  <si>
    <t>Bird</t>
  </si>
  <si>
    <t>Plastic covers</t>
  </si>
  <si>
    <t>Battery</t>
  </si>
  <si>
    <t>Aerosol can</t>
  </si>
  <si>
    <t>Iguana</t>
  </si>
  <si>
    <t>Dead /Plastic Bag</t>
  </si>
  <si>
    <t>Dog</t>
  </si>
  <si>
    <t>Mongoose</t>
  </si>
  <si>
    <t>Beverage Bottles</t>
  </si>
  <si>
    <t>Plastics</t>
  </si>
  <si>
    <t xml:space="preserve">Pelican </t>
  </si>
  <si>
    <t>Oil 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</si>
</sst>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J1" zoomScale="90" zoomScaleNormal="90" workbookViewId="0">
      <selection activeCell="Q2" sqref="Q2"/>
    </sheetView>
  </sheetViews>
  <sheetFormatPr defaultRowHeight="15" x14ac:dyDescent="0.25"/>
  <cols>
    <col min="1" max="1" width="26.42578125" bestFit="1" customWidth="1"/>
    <col min="3" max="3" width="27.5703125" bestFit="1" customWidth="1"/>
    <col min="5" max="5" width="35.140625" bestFit="1" customWidth="1"/>
    <col min="7" max="7" width="21.42578125" bestFit="1" customWidth="1"/>
    <col min="9" max="9" width="28.5703125" bestFit="1" customWidth="1"/>
    <col min="11" max="11" width="23.85546875" bestFit="1" customWidth="1"/>
    <col min="13" max="13" width="20.5703125" bestFit="1" customWidth="1"/>
    <col min="14" max="14" width="25.5703125" bestFit="1" customWidth="1"/>
    <col min="15" max="15" width="28.7109375" bestFit="1" customWidth="1"/>
    <col min="16" max="16" width="22.42578125" bestFit="1" customWidth="1"/>
    <col min="17" max="17" width="25.7109375" bestFit="1" customWidth="1"/>
  </cols>
  <sheetData>
    <row r="1" spans="1:17" x14ac:dyDescent="0.25">
      <c r="A1" s="1" t="s">
        <v>20</v>
      </c>
      <c r="B1" s="1" t="s">
        <v>18</v>
      </c>
      <c r="C1" s="1" t="s">
        <v>19</v>
      </c>
      <c r="D1" s="1" t="s">
        <v>18</v>
      </c>
      <c r="E1" s="1" t="s">
        <v>25</v>
      </c>
      <c r="F1" s="1" t="s">
        <v>18</v>
      </c>
      <c r="G1" s="1" t="s">
        <v>31</v>
      </c>
      <c r="H1" s="1" t="s">
        <v>18</v>
      </c>
      <c r="I1" s="1" t="s">
        <v>43</v>
      </c>
      <c r="J1" s="1" t="s">
        <v>18</v>
      </c>
      <c r="K1" s="1" t="s">
        <v>52</v>
      </c>
      <c r="L1" s="1" t="s">
        <v>18</v>
      </c>
      <c r="M1" s="1" t="s">
        <v>56</v>
      </c>
      <c r="N1" s="1" t="s">
        <v>61</v>
      </c>
      <c r="O1" s="1" t="s">
        <v>62</v>
      </c>
      <c r="P1" s="1" t="s">
        <v>63</v>
      </c>
      <c r="Q1" s="1" t="s">
        <v>64</v>
      </c>
    </row>
    <row r="2" spans="1:17" x14ac:dyDescent="0.25">
      <c r="A2" t="s">
        <v>0</v>
      </c>
      <c r="B2">
        <f>7+13+8+3+1+28+5+37+4+8+5+67+41+45+22+39+16+5</f>
        <v>354</v>
      </c>
      <c r="C2" t="s">
        <v>21</v>
      </c>
      <c r="D2">
        <v>2</v>
      </c>
      <c r="E2" t="s">
        <v>26</v>
      </c>
      <c r="F2">
        <f>1+1</f>
        <v>2</v>
      </c>
      <c r="G2" t="s">
        <v>32</v>
      </c>
      <c r="H2">
        <f>1</f>
        <v>1</v>
      </c>
      <c r="I2" t="s">
        <v>44</v>
      </c>
      <c r="J2">
        <f>1+1+1+2+9+5+2</f>
        <v>21</v>
      </c>
      <c r="K2" t="s">
        <v>53</v>
      </c>
      <c r="L2">
        <f>4+6+1+2+3</f>
        <v>16</v>
      </c>
      <c r="M2" t="s">
        <v>57</v>
      </c>
      <c r="N2">
        <f>1+1+2+1+1+1+1+1+1+1+1+1+1+1+2+1+1+1+1+1+1+2</f>
        <v>25</v>
      </c>
      <c r="O2">
        <f>20+3+6+20+1+12+5+5+8+25+5+6+5+1+1+2+1+1+2+2+3+3+5</f>
        <v>142</v>
      </c>
      <c r="P2">
        <f>1</f>
        <v>1</v>
      </c>
      <c r="Q2">
        <f>2+2+1+3+5+2+3+3+1+1+2+3+1+1+28</f>
        <v>58</v>
      </c>
    </row>
    <row r="3" spans="1:17" x14ac:dyDescent="0.25">
      <c r="A3" t="s">
        <v>1</v>
      </c>
      <c r="B3">
        <f>18+20+11+18+1+21+13+6+1+5+7+6+8+30+11+15</f>
        <v>191</v>
      </c>
      <c r="C3" t="s">
        <v>22</v>
      </c>
      <c r="D3">
        <v>2</v>
      </c>
      <c r="E3" t="s">
        <v>27</v>
      </c>
      <c r="F3">
        <f>12+3+1+2+2+7</f>
        <v>27</v>
      </c>
      <c r="G3" t="s">
        <v>33</v>
      </c>
      <c r="H3">
        <f>3+11+2+6+2+2+1+1+1+5+5+6+1</f>
        <v>46</v>
      </c>
      <c r="I3" t="s">
        <v>45</v>
      </c>
      <c r="J3">
        <f>1+1</f>
        <v>2</v>
      </c>
      <c r="K3" t="s">
        <v>54</v>
      </c>
      <c r="L3">
        <f>14+1+1+40+227+4+29+1+6+16+11+3</f>
        <v>353</v>
      </c>
      <c r="M3" t="s">
        <v>58</v>
      </c>
    </row>
    <row r="4" spans="1:17" x14ac:dyDescent="0.25">
      <c r="A4" t="s">
        <v>2</v>
      </c>
      <c r="B4">
        <f>4+1+1+3</f>
        <v>9</v>
      </c>
      <c r="C4" t="s">
        <v>23</v>
      </c>
      <c r="D4">
        <v>3</v>
      </c>
      <c r="E4" t="s">
        <v>28</v>
      </c>
      <c r="F4">
        <f>1+1</f>
        <v>2</v>
      </c>
      <c r="G4" t="s">
        <v>34</v>
      </c>
      <c r="H4">
        <f>2+1+1+1+8+4+4</f>
        <v>21</v>
      </c>
      <c r="I4" t="s">
        <v>46</v>
      </c>
      <c r="K4" t="s">
        <v>55</v>
      </c>
      <c r="L4">
        <f>15+17+11+10+3+1+17+6+23+1+5</f>
        <v>109</v>
      </c>
      <c r="M4" t="s">
        <v>59</v>
      </c>
    </row>
    <row r="5" spans="1:17" x14ac:dyDescent="0.25">
      <c r="A5" t="s">
        <v>3</v>
      </c>
      <c r="B5">
        <f>2</f>
        <v>2</v>
      </c>
      <c r="C5" t="s">
        <v>24</v>
      </c>
      <c r="D5">
        <v>0</v>
      </c>
      <c r="E5" t="s">
        <v>29</v>
      </c>
      <c r="F5">
        <f>7+3+1+1</f>
        <v>12</v>
      </c>
      <c r="G5" t="s">
        <v>38</v>
      </c>
      <c r="H5">
        <f>1+2+1+2+3+2+2+3+4+1+1+6</f>
        <v>28</v>
      </c>
      <c r="I5" t="s">
        <v>47</v>
      </c>
      <c r="J5">
        <f>2+1</f>
        <v>3</v>
      </c>
      <c r="M5" t="s">
        <v>60</v>
      </c>
    </row>
    <row r="6" spans="1:17" x14ac:dyDescent="0.25">
      <c r="A6" t="s">
        <v>4</v>
      </c>
      <c r="B6">
        <f>2+11+5+60+10+21+5+6+6+1+15+5+3+9+11+16+11+11+20</f>
        <v>228</v>
      </c>
      <c r="E6" t="s">
        <v>30</v>
      </c>
      <c r="F6">
        <f>1+1+4+1+1+1+1+2</f>
        <v>12</v>
      </c>
      <c r="G6" t="s">
        <v>35</v>
      </c>
      <c r="H6">
        <f>3+1+1+2</f>
        <v>7</v>
      </c>
    </row>
    <row r="7" spans="1:17" x14ac:dyDescent="0.25">
      <c r="A7" t="s">
        <v>5</v>
      </c>
      <c r="B7">
        <f>5+14+1+25+50+69+44+13+56+2+25+20+28+7+27+20+1+37+36+32+47+15</f>
        <v>574</v>
      </c>
      <c r="G7" t="s">
        <v>36</v>
      </c>
      <c r="H7">
        <v>0</v>
      </c>
    </row>
    <row r="8" spans="1:17" x14ac:dyDescent="0.25">
      <c r="A8" t="s">
        <v>6</v>
      </c>
      <c r="B8">
        <f>1+6+2+39+6+1+1+4+1+3+6+5</f>
        <v>75</v>
      </c>
      <c r="G8" t="s">
        <v>37</v>
      </c>
      <c r="H8">
        <v>0</v>
      </c>
    </row>
    <row r="9" spans="1:17" x14ac:dyDescent="0.25">
      <c r="A9" t="s">
        <v>7</v>
      </c>
      <c r="B9">
        <f>9+2+25+3+38+43+6+4+17+9+39+16+4+38+33+47+5</f>
        <v>338</v>
      </c>
      <c r="G9" t="s">
        <v>39</v>
      </c>
      <c r="H9">
        <f>1+1</f>
        <v>2</v>
      </c>
    </row>
    <row r="10" spans="1:17" x14ac:dyDescent="0.25">
      <c r="A10" t="s">
        <v>8</v>
      </c>
      <c r="B10">
        <f>7+5+43+6+23+10+16+30+5+5+2+14+1+11+5+9+10</f>
        <v>202</v>
      </c>
      <c r="G10" t="s">
        <v>40</v>
      </c>
      <c r="H10">
        <f>10+18+3</f>
        <v>31</v>
      </c>
    </row>
    <row r="11" spans="1:17" x14ac:dyDescent="0.25">
      <c r="A11" t="s">
        <v>9</v>
      </c>
      <c r="B11">
        <f>1+1+3+7+2+4+10+3+2+4+1+1+16+10</f>
        <v>65</v>
      </c>
      <c r="G11" t="s">
        <v>41</v>
      </c>
      <c r="H11">
        <f>5</f>
        <v>5</v>
      </c>
    </row>
    <row r="12" spans="1:17" x14ac:dyDescent="0.25">
      <c r="A12" t="s">
        <v>10</v>
      </c>
      <c r="B12">
        <f>14+2+3+1+3+1+3+11+23+16+2+2+9+11+15</f>
        <v>116</v>
      </c>
      <c r="G12" t="s">
        <v>42</v>
      </c>
      <c r="H12">
        <f>87+5+3+6</f>
        <v>101</v>
      </c>
    </row>
    <row r="13" spans="1:17" x14ac:dyDescent="0.25">
      <c r="A13" t="s">
        <v>11</v>
      </c>
      <c r="B13">
        <f>5+4+3+5+14+4+3+2+2+3</f>
        <v>45</v>
      </c>
      <c r="G13" t="s">
        <v>48</v>
      </c>
      <c r="H13">
        <f>1</f>
        <v>1</v>
      </c>
    </row>
    <row r="14" spans="1:17" x14ac:dyDescent="0.25">
      <c r="A14" t="s">
        <v>12</v>
      </c>
      <c r="B14">
        <f>4+2+1+2+4+1+1+1+2+15</f>
        <v>33</v>
      </c>
      <c r="G14" t="s">
        <v>49</v>
      </c>
      <c r="H14">
        <f>1</f>
        <v>1</v>
      </c>
    </row>
    <row r="15" spans="1:17" x14ac:dyDescent="0.25">
      <c r="A15" t="s">
        <v>13</v>
      </c>
      <c r="B15">
        <f>6+1+16+7+5+3+7+5+12+2+2+1+20+4</f>
        <v>91</v>
      </c>
      <c r="G15" t="s">
        <v>50</v>
      </c>
      <c r="H15">
        <f>1</f>
        <v>1</v>
      </c>
    </row>
    <row r="16" spans="1:17" x14ac:dyDescent="0.25">
      <c r="A16" t="s">
        <v>14</v>
      </c>
      <c r="B16">
        <f>1+5+5+1+2+2+1+5+1</f>
        <v>23</v>
      </c>
      <c r="G16" t="s">
        <v>51</v>
      </c>
      <c r="H16">
        <f>1</f>
        <v>1</v>
      </c>
    </row>
    <row r="17" spans="1:2" x14ac:dyDescent="0.25">
      <c r="A17" t="s">
        <v>15</v>
      </c>
      <c r="B17">
        <f>1+1+1+1+1+4+2+5+1+2</f>
        <v>19</v>
      </c>
    </row>
    <row r="18" spans="1:2" x14ac:dyDescent="0.25">
      <c r="A18" t="s">
        <v>16</v>
      </c>
      <c r="B18">
        <f>4+1+10+3+1+6+27+15+2+2+7+1+5+3</f>
        <v>87</v>
      </c>
    </row>
    <row r="19" spans="1:2" x14ac:dyDescent="0.25">
      <c r="A19" t="s">
        <v>17</v>
      </c>
      <c r="B19">
        <f>1+2+1+3</f>
        <v>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A3" sqref="A3"/>
    </sheetView>
  </sheetViews>
  <sheetFormatPr defaultRowHeight="15" x14ac:dyDescent="0.25"/>
  <cols>
    <col min="1" max="1" width="26.42578125" bestFit="1" customWidth="1"/>
    <col min="3" max="3" width="27.5703125" bestFit="1" customWidth="1"/>
    <col min="5" max="5" width="35.140625" bestFit="1" customWidth="1"/>
    <col min="7" max="7" width="21.42578125" bestFit="1" customWidth="1"/>
    <col min="9" max="9" width="28.5703125" bestFit="1" customWidth="1"/>
    <col min="11" max="11" width="23.85546875" bestFit="1" customWidth="1"/>
    <col min="13" max="13" width="21.85546875" bestFit="1" customWidth="1"/>
    <col min="15" max="15" width="20.5703125" bestFit="1" customWidth="1"/>
    <col min="16" max="16" width="25.5703125" bestFit="1" customWidth="1"/>
    <col min="17" max="17" width="28.5703125" bestFit="1" customWidth="1"/>
    <col min="18" max="18" width="22.42578125" bestFit="1" customWidth="1"/>
    <col min="19" max="19" width="25.7109375" bestFit="1" customWidth="1"/>
  </cols>
  <sheetData>
    <row r="1" spans="1:19" x14ac:dyDescent="0.25">
      <c r="A1" t="s">
        <v>20</v>
      </c>
      <c r="B1" t="s">
        <v>18</v>
      </c>
      <c r="C1" t="s">
        <v>19</v>
      </c>
      <c r="D1" t="s">
        <v>18</v>
      </c>
      <c r="E1" t="s">
        <v>25</v>
      </c>
      <c r="F1" t="s">
        <v>18</v>
      </c>
      <c r="G1" t="s">
        <v>31</v>
      </c>
      <c r="H1" t="s">
        <v>18</v>
      </c>
      <c r="I1" t="s">
        <v>43</v>
      </c>
      <c r="J1" t="s">
        <v>18</v>
      </c>
      <c r="K1" t="s">
        <v>52</v>
      </c>
      <c r="L1" t="s">
        <v>18</v>
      </c>
      <c r="M1" t="s">
        <v>74</v>
      </c>
      <c r="N1" t="s">
        <v>66</v>
      </c>
      <c r="O1" t="s">
        <v>56</v>
      </c>
      <c r="P1" t="s">
        <v>61</v>
      </c>
      <c r="Q1" t="s">
        <v>62</v>
      </c>
      <c r="R1" t="s">
        <v>63</v>
      </c>
      <c r="S1" t="s">
        <v>64</v>
      </c>
    </row>
    <row r="2" spans="1:19" x14ac:dyDescent="0.25">
      <c r="A2" t="s">
        <v>0</v>
      </c>
      <c r="B2">
        <f>2+4+17+7+1</f>
        <v>31</v>
      </c>
      <c r="C2" t="s">
        <v>21</v>
      </c>
      <c r="D2">
        <f>0+2</f>
        <v>2</v>
      </c>
      <c r="E2" t="s">
        <v>26</v>
      </c>
      <c r="F2">
        <f>1+2+1+2</f>
        <v>6</v>
      </c>
      <c r="G2" t="s">
        <v>32</v>
      </c>
      <c r="H2">
        <f>1+1+1</f>
        <v>3</v>
      </c>
      <c r="I2" t="s">
        <v>44</v>
      </c>
      <c r="J2">
        <f>1+2+1</f>
        <v>4</v>
      </c>
      <c r="K2" t="s">
        <v>53</v>
      </c>
      <c r="L2">
        <f>50+138+150+210+60+110+40+57</f>
        <v>815</v>
      </c>
      <c r="O2" t="s">
        <v>87</v>
      </c>
      <c r="P2">
        <f>3+3+7+12+2+2+2+2</f>
        <v>33</v>
      </c>
      <c r="Q2">
        <f>15+20+50+50+10+20+30+30+30</f>
        <v>255</v>
      </c>
      <c r="R2">
        <f>4</f>
        <v>4</v>
      </c>
      <c r="S2">
        <f>16</f>
        <v>16</v>
      </c>
    </row>
    <row r="3" spans="1:19" x14ac:dyDescent="0.25">
      <c r="A3" t="s">
        <v>1</v>
      </c>
      <c r="B3">
        <f>10+97+87+600+17+10+50+83</f>
        <v>954</v>
      </c>
      <c r="C3" t="s">
        <v>22</v>
      </c>
      <c r="D3">
        <f>0+11+2+1</f>
        <v>14</v>
      </c>
      <c r="E3" t="s">
        <v>27</v>
      </c>
      <c r="F3">
        <f>3+80+2+35+3+6+3+1</f>
        <v>133</v>
      </c>
      <c r="G3" t="s">
        <v>33</v>
      </c>
      <c r="H3">
        <f>1+19+3</f>
        <v>23</v>
      </c>
      <c r="I3" t="s">
        <v>45</v>
      </c>
      <c r="K3" t="s">
        <v>54</v>
      </c>
      <c r="L3">
        <f>17+77+42+116+26+11+18</f>
        <v>307</v>
      </c>
    </row>
    <row r="4" spans="1:19" x14ac:dyDescent="0.25">
      <c r="A4" t="s">
        <v>2</v>
      </c>
      <c r="B4">
        <f>3+8+1+10</f>
        <v>22</v>
      </c>
      <c r="C4" t="s">
        <v>23</v>
      </c>
      <c r="D4">
        <f>0+13+2+1+10</f>
        <v>26</v>
      </c>
      <c r="E4" t="s">
        <v>28</v>
      </c>
      <c r="F4">
        <f>5+4+10+30+3+2+2</f>
        <v>56</v>
      </c>
      <c r="G4" t="s">
        <v>34</v>
      </c>
      <c r="H4">
        <f>2+60+1+15+21+2</f>
        <v>101</v>
      </c>
      <c r="I4" t="s">
        <v>46</v>
      </c>
      <c r="J4">
        <f>6+2+12+1</f>
        <v>21</v>
      </c>
      <c r="K4" t="s">
        <v>55</v>
      </c>
      <c r="L4">
        <f>100+25+61+55+5+117+37+19</f>
        <v>419</v>
      </c>
    </row>
    <row r="5" spans="1:19" x14ac:dyDescent="0.25">
      <c r="A5" t="s">
        <v>3</v>
      </c>
      <c r="B5">
        <f>4+14+52+40+10+16+2+12</f>
        <v>150</v>
      </c>
      <c r="C5" t="s">
        <v>24</v>
      </c>
      <c r="D5">
        <f>15+11+32+1+10+11</f>
        <v>80</v>
      </c>
      <c r="E5" t="s">
        <v>29</v>
      </c>
      <c r="F5">
        <f>0+1+1</f>
        <v>2</v>
      </c>
      <c r="G5" t="s">
        <v>38</v>
      </c>
      <c r="H5">
        <f>1+10+27+11+6</f>
        <v>55</v>
      </c>
      <c r="I5" t="s">
        <v>47</v>
      </c>
      <c r="J5">
        <f>1+3</f>
        <v>4</v>
      </c>
    </row>
    <row r="6" spans="1:19" x14ac:dyDescent="0.25">
      <c r="A6" t="s">
        <v>4</v>
      </c>
      <c r="B6">
        <f>20+113+243+255+7+81+111+40</f>
        <v>870</v>
      </c>
      <c r="E6" t="s">
        <v>30</v>
      </c>
      <c r="F6">
        <f>0+6+1+3+27</f>
        <v>37</v>
      </c>
      <c r="G6" t="s">
        <v>35</v>
      </c>
      <c r="H6">
        <f>12+1+2</f>
        <v>15</v>
      </c>
    </row>
    <row r="7" spans="1:19" x14ac:dyDescent="0.25">
      <c r="A7" t="s">
        <v>5</v>
      </c>
      <c r="B7">
        <f>10+12+25</f>
        <v>47</v>
      </c>
      <c r="G7" t="s">
        <v>36</v>
      </c>
    </row>
    <row r="8" spans="1:19" x14ac:dyDescent="0.25">
      <c r="A8" t="s">
        <v>6</v>
      </c>
      <c r="B8">
        <f>5+11+20+5+12+7</f>
        <v>60</v>
      </c>
      <c r="G8" t="s">
        <v>37</v>
      </c>
    </row>
    <row r="9" spans="1:19" x14ac:dyDescent="0.25">
      <c r="A9" t="s">
        <v>7</v>
      </c>
      <c r="B9">
        <f>14+14+17+125+2+23+45+2</f>
        <v>242</v>
      </c>
      <c r="G9" t="s">
        <v>39</v>
      </c>
    </row>
    <row r="10" spans="1:19" x14ac:dyDescent="0.25">
      <c r="A10" t="s">
        <v>8</v>
      </c>
      <c r="B10">
        <f>3+8+22+1+7+10+12</f>
        <v>63</v>
      </c>
      <c r="G10" t="s">
        <v>40</v>
      </c>
    </row>
    <row r="11" spans="1:19" x14ac:dyDescent="0.25">
      <c r="A11" t="s">
        <v>9</v>
      </c>
      <c r="B11">
        <f>30+119+88+65+15+45+10+58</f>
        <v>430</v>
      </c>
      <c r="G11" t="s">
        <v>41</v>
      </c>
    </row>
    <row r="12" spans="1:19" x14ac:dyDescent="0.25">
      <c r="A12" t="s">
        <v>10</v>
      </c>
      <c r="B12">
        <f>15+8+63+40+13+11+2+20</f>
        <v>172</v>
      </c>
      <c r="G12" t="s">
        <v>42</v>
      </c>
    </row>
    <row r="13" spans="1:19" x14ac:dyDescent="0.25">
      <c r="A13" t="s">
        <v>11</v>
      </c>
      <c r="B13">
        <f>0+2+7+32+16+4+10+35+8</f>
        <v>114</v>
      </c>
      <c r="G13" t="s">
        <v>48</v>
      </c>
    </row>
    <row r="14" spans="1:19" x14ac:dyDescent="0.25">
      <c r="A14" t="s">
        <v>12</v>
      </c>
      <c r="B14">
        <f>0+8+19+43+21+1+3</f>
        <v>95</v>
      </c>
      <c r="G14" t="s">
        <v>49</v>
      </c>
    </row>
    <row r="15" spans="1:19" x14ac:dyDescent="0.25">
      <c r="A15" t="s">
        <v>13</v>
      </c>
      <c r="B15">
        <f>0+47+150+10+6+2+12</f>
        <v>227</v>
      </c>
      <c r="G15" t="s">
        <v>50</v>
      </c>
    </row>
    <row r="16" spans="1:19" x14ac:dyDescent="0.25">
      <c r="A16" t="s">
        <v>14</v>
      </c>
      <c r="B16">
        <f>0+3+1+10+2+3+2</f>
        <v>21</v>
      </c>
      <c r="G16" t="s">
        <v>51</v>
      </c>
    </row>
    <row r="17" spans="1:2" x14ac:dyDescent="0.25">
      <c r="A17" t="s">
        <v>15</v>
      </c>
      <c r="B17">
        <f>10+11+1+9+2</f>
        <v>33</v>
      </c>
    </row>
    <row r="18" spans="1:2" x14ac:dyDescent="0.25">
      <c r="A18" t="s">
        <v>16</v>
      </c>
      <c r="B18">
        <f>10+20+18+40+1+7+10</f>
        <v>106</v>
      </c>
    </row>
    <row r="19" spans="1:2" x14ac:dyDescent="0.25">
      <c r="A19" t="s">
        <v>17</v>
      </c>
      <c r="B19">
        <f>2+22+110+20+6+13+5</f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Q1" workbookViewId="0">
      <selection activeCell="R9" sqref="R9"/>
    </sheetView>
  </sheetViews>
  <sheetFormatPr defaultRowHeight="15" x14ac:dyDescent="0.25"/>
  <cols>
    <col min="1" max="1" width="26.42578125" bestFit="1" customWidth="1"/>
    <col min="3" max="3" width="27.5703125" bestFit="1" customWidth="1"/>
    <col min="5" max="5" width="35.140625" bestFit="1" customWidth="1"/>
    <col min="7" max="7" width="21.42578125" bestFit="1" customWidth="1"/>
    <col min="9" max="9" width="28.5703125" bestFit="1" customWidth="1"/>
    <col min="11" max="11" width="23.85546875" bestFit="1" customWidth="1"/>
    <col min="13" max="13" width="19.5703125" bestFit="1" customWidth="1"/>
    <col min="16" max="16" width="25.7109375" bestFit="1" customWidth="1"/>
    <col min="17" max="17" width="20.5703125" bestFit="1" customWidth="1"/>
    <col min="18" max="18" width="25.5703125" bestFit="1" customWidth="1"/>
    <col min="19" max="19" width="28.7109375" bestFit="1" customWidth="1"/>
    <col min="20" max="20" width="22.42578125" bestFit="1" customWidth="1"/>
    <col min="21" max="21" width="25.7109375" bestFit="1" customWidth="1"/>
  </cols>
  <sheetData>
    <row r="1" spans="1:21" x14ac:dyDescent="0.25">
      <c r="A1" s="1" t="s">
        <v>20</v>
      </c>
      <c r="B1" s="1" t="s">
        <v>18</v>
      </c>
      <c r="C1" s="1" t="s">
        <v>19</v>
      </c>
      <c r="D1" s="1" t="s">
        <v>18</v>
      </c>
      <c r="E1" s="1" t="s">
        <v>25</v>
      </c>
      <c r="F1" s="1" t="s">
        <v>18</v>
      </c>
      <c r="G1" s="1" t="s">
        <v>31</v>
      </c>
      <c r="H1" s="1" t="s">
        <v>18</v>
      </c>
      <c r="I1" s="1" t="s">
        <v>43</v>
      </c>
      <c r="J1" s="1" t="s">
        <v>18</v>
      </c>
      <c r="K1" s="1" t="s">
        <v>52</v>
      </c>
      <c r="L1" s="1" t="s">
        <v>18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56</v>
      </c>
      <c r="R1" s="1" t="s">
        <v>61</v>
      </c>
      <c r="S1" s="1" t="s">
        <v>62</v>
      </c>
      <c r="T1" s="1" t="s">
        <v>63</v>
      </c>
      <c r="U1" s="1" t="s">
        <v>64</v>
      </c>
    </row>
    <row r="2" spans="1:21" x14ac:dyDescent="0.25">
      <c r="A2" t="s">
        <v>0</v>
      </c>
      <c r="B2">
        <f>17+2+15+1</f>
        <v>35</v>
      </c>
      <c r="C2" t="s">
        <v>21</v>
      </c>
      <c r="D2">
        <f>1+1+1</f>
        <v>3</v>
      </c>
      <c r="E2" t="s">
        <v>26</v>
      </c>
      <c r="F2">
        <v>0</v>
      </c>
      <c r="G2" t="s">
        <v>32</v>
      </c>
      <c r="H2">
        <f>1+1</f>
        <v>2</v>
      </c>
      <c r="I2" t="s">
        <v>44</v>
      </c>
      <c r="J2">
        <f>6+1</f>
        <v>7</v>
      </c>
      <c r="K2" t="s">
        <v>53</v>
      </c>
      <c r="L2">
        <f>115+1+103+48+105</f>
        <v>372</v>
      </c>
      <c r="M2" t="s">
        <v>69</v>
      </c>
      <c r="N2" t="s">
        <v>70</v>
      </c>
      <c r="O2" t="s">
        <v>71</v>
      </c>
      <c r="Q2" t="s">
        <v>72</v>
      </c>
      <c r="R2">
        <v>99</v>
      </c>
      <c r="S2">
        <v>393</v>
      </c>
      <c r="T2">
        <v>6</v>
      </c>
      <c r="U2">
        <v>44</v>
      </c>
    </row>
    <row r="3" spans="1:21" x14ac:dyDescent="0.25">
      <c r="A3" t="s">
        <v>1</v>
      </c>
      <c r="B3">
        <f>17+5+1+67+16+22+107</f>
        <v>235</v>
      </c>
      <c r="C3" t="s">
        <v>22</v>
      </c>
      <c r="D3">
        <v>0</v>
      </c>
      <c r="E3" t="s">
        <v>27</v>
      </c>
      <c r="F3">
        <f>42+1+1+8+1+5</f>
        <v>58</v>
      </c>
      <c r="G3" t="s">
        <v>33</v>
      </c>
      <c r="H3">
        <f>6+2+3+1+1+2</f>
        <v>15</v>
      </c>
      <c r="I3" t="s">
        <v>45</v>
      </c>
      <c r="J3">
        <f>2</f>
        <v>2</v>
      </c>
      <c r="K3" t="s">
        <v>54</v>
      </c>
      <c r="L3">
        <f>1+7+1+1</f>
        <v>10</v>
      </c>
      <c r="Q3" t="s">
        <v>55</v>
      </c>
    </row>
    <row r="4" spans="1:21" x14ac:dyDescent="0.25">
      <c r="A4" t="s">
        <v>2</v>
      </c>
      <c r="B4">
        <f>2+2+15+4</f>
        <v>23</v>
      </c>
      <c r="C4" t="s">
        <v>23</v>
      </c>
      <c r="D4">
        <f>2</f>
        <v>2</v>
      </c>
      <c r="E4" t="s">
        <v>28</v>
      </c>
      <c r="F4">
        <f>3+15</f>
        <v>18</v>
      </c>
      <c r="G4" t="s">
        <v>34</v>
      </c>
      <c r="H4">
        <f>2+12</f>
        <v>14</v>
      </c>
      <c r="I4" t="s">
        <v>46</v>
      </c>
      <c r="J4">
        <f>1+2</f>
        <v>3</v>
      </c>
      <c r="K4" t="s">
        <v>55</v>
      </c>
      <c r="L4">
        <f>56+5+2+100+26+514</f>
        <v>703</v>
      </c>
      <c r="Q4" t="s">
        <v>73</v>
      </c>
    </row>
    <row r="5" spans="1:21" x14ac:dyDescent="0.25">
      <c r="A5" t="s">
        <v>3</v>
      </c>
      <c r="B5">
        <f>4+5+7+5+25+5+12</f>
        <v>63</v>
      </c>
      <c r="C5" t="s">
        <v>24</v>
      </c>
      <c r="D5">
        <f>1+6+5+4+15</f>
        <v>31</v>
      </c>
      <c r="E5" t="s">
        <v>29</v>
      </c>
      <c r="F5">
        <f>1+1+2</f>
        <v>4</v>
      </c>
      <c r="G5" t="s">
        <v>38</v>
      </c>
      <c r="H5">
        <f>1+2+8+12</f>
        <v>23</v>
      </c>
      <c r="I5" t="s">
        <v>47</v>
      </c>
      <c r="J5">
        <v>0</v>
      </c>
    </row>
    <row r="6" spans="1:21" x14ac:dyDescent="0.25">
      <c r="A6" t="s">
        <v>4</v>
      </c>
      <c r="B6">
        <f>33+64+126+30+5+214</f>
        <v>472</v>
      </c>
      <c r="D6">
        <v>0</v>
      </c>
      <c r="E6" t="s">
        <v>30</v>
      </c>
      <c r="F6">
        <f>2+1</f>
        <v>3</v>
      </c>
      <c r="G6" t="s">
        <v>35</v>
      </c>
      <c r="H6">
        <f>5+1+37</f>
        <v>43</v>
      </c>
    </row>
    <row r="7" spans="1:21" x14ac:dyDescent="0.25">
      <c r="A7" t="s">
        <v>5</v>
      </c>
      <c r="B7">
        <f>1+1+5+1+1</f>
        <v>9</v>
      </c>
      <c r="G7" t="s">
        <v>36</v>
      </c>
    </row>
    <row r="8" spans="1:21" x14ac:dyDescent="0.25">
      <c r="A8" t="s">
        <v>6</v>
      </c>
      <c r="B8">
        <f>4+6+1+23+2</f>
        <v>36</v>
      </c>
      <c r="G8" t="s">
        <v>37</v>
      </c>
    </row>
    <row r="9" spans="1:21" x14ac:dyDescent="0.25">
      <c r="A9" t="s">
        <v>7</v>
      </c>
      <c r="B9">
        <f>25+19+62+40+130</f>
        <v>276</v>
      </c>
      <c r="G9" t="s">
        <v>39</v>
      </c>
    </row>
    <row r="10" spans="1:21" x14ac:dyDescent="0.25">
      <c r="A10" t="s">
        <v>8</v>
      </c>
      <c r="B10">
        <f>4+4+19+2</f>
        <v>29</v>
      </c>
      <c r="G10" t="s">
        <v>40</v>
      </c>
    </row>
    <row r="11" spans="1:21" x14ac:dyDescent="0.25">
      <c r="A11" t="s">
        <v>9</v>
      </c>
      <c r="B11">
        <f>6+5+45+15+55+6+88</f>
        <v>220</v>
      </c>
      <c r="G11" t="s">
        <v>41</v>
      </c>
    </row>
    <row r="12" spans="1:21" x14ac:dyDescent="0.25">
      <c r="A12" t="s">
        <v>10</v>
      </c>
      <c r="B12">
        <f>1+23+1+2</f>
        <v>27</v>
      </c>
      <c r="G12" t="s">
        <v>42</v>
      </c>
      <c r="H12">
        <f>1</f>
        <v>1</v>
      </c>
    </row>
    <row r="13" spans="1:21" x14ac:dyDescent="0.25">
      <c r="A13" t="s">
        <v>11</v>
      </c>
      <c r="B13">
        <f>3+1+1+3+14</f>
        <v>22</v>
      </c>
      <c r="G13" t="s">
        <v>48</v>
      </c>
      <c r="H13">
        <v>4</v>
      </c>
    </row>
    <row r="14" spans="1:21" x14ac:dyDescent="0.25">
      <c r="A14" t="s">
        <v>12</v>
      </c>
      <c r="B14">
        <f>1+1+17+1+2</f>
        <v>22</v>
      </c>
      <c r="G14" t="s">
        <v>49</v>
      </c>
    </row>
    <row r="15" spans="1:21" x14ac:dyDescent="0.25">
      <c r="A15" t="s">
        <v>13</v>
      </c>
      <c r="B15">
        <f>4+3+3+15+1+4</f>
        <v>30</v>
      </c>
      <c r="G15" t="s">
        <v>50</v>
      </c>
    </row>
    <row r="16" spans="1:21" x14ac:dyDescent="0.25">
      <c r="A16" t="s">
        <v>14</v>
      </c>
      <c r="B16">
        <v>0</v>
      </c>
      <c r="G16" t="s">
        <v>51</v>
      </c>
    </row>
    <row r="17" spans="1:2" x14ac:dyDescent="0.25">
      <c r="A17" t="s">
        <v>15</v>
      </c>
      <c r="B17">
        <f>4</f>
        <v>4</v>
      </c>
    </row>
    <row r="18" spans="1:2" x14ac:dyDescent="0.25">
      <c r="A18" t="s">
        <v>16</v>
      </c>
      <c r="B18">
        <f>1+8+15+12</f>
        <v>36</v>
      </c>
    </row>
    <row r="19" spans="1:2" x14ac:dyDescent="0.25">
      <c r="A19" t="s">
        <v>17</v>
      </c>
      <c r="B19">
        <f>12+3+8+11+4+10</f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N1" workbookViewId="0">
      <selection activeCell="P2" sqref="P2"/>
    </sheetView>
  </sheetViews>
  <sheetFormatPr defaultRowHeight="15" x14ac:dyDescent="0.25"/>
  <cols>
    <col min="1" max="1" width="26.42578125" bestFit="1" customWidth="1"/>
    <col min="2" max="2" width="5.42578125" bestFit="1" customWidth="1"/>
    <col min="3" max="3" width="27.5703125" bestFit="1" customWidth="1"/>
    <col min="5" max="5" width="35.140625" bestFit="1" customWidth="1"/>
    <col min="7" max="7" width="21.42578125" bestFit="1" customWidth="1"/>
    <col min="9" max="9" width="28.5703125" bestFit="1" customWidth="1"/>
    <col min="11" max="11" width="23.85546875" bestFit="1" customWidth="1"/>
    <col min="13" max="13" width="21.85546875" bestFit="1" customWidth="1"/>
    <col min="14" max="14" width="21.85546875" customWidth="1"/>
    <col min="15" max="15" width="20.5703125" bestFit="1" customWidth="1"/>
    <col min="16" max="16" width="25.5703125" bestFit="1" customWidth="1"/>
    <col min="17" max="17" width="28.7109375" bestFit="1" customWidth="1"/>
    <col min="18" max="18" width="22.42578125" bestFit="1" customWidth="1"/>
    <col min="19" max="19" width="25.7109375" bestFit="1" customWidth="1"/>
  </cols>
  <sheetData>
    <row r="1" spans="1:19" x14ac:dyDescent="0.25">
      <c r="A1" s="1" t="s">
        <v>20</v>
      </c>
      <c r="B1" s="1" t="s">
        <v>18</v>
      </c>
      <c r="C1" s="1" t="s">
        <v>19</v>
      </c>
      <c r="D1" s="1" t="s">
        <v>18</v>
      </c>
      <c r="E1" s="1" t="s">
        <v>25</v>
      </c>
      <c r="F1" s="1" t="s">
        <v>18</v>
      </c>
      <c r="G1" s="1" t="s">
        <v>31</v>
      </c>
      <c r="H1" s="1" t="s">
        <v>18</v>
      </c>
      <c r="I1" s="1" t="s">
        <v>43</v>
      </c>
      <c r="J1" s="1" t="s">
        <v>18</v>
      </c>
      <c r="K1" s="1" t="s">
        <v>52</v>
      </c>
      <c r="L1" s="1" t="s">
        <v>18</v>
      </c>
      <c r="M1" s="1" t="s">
        <v>74</v>
      </c>
      <c r="N1" s="1" t="s">
        <v>66</v>
      </c>
      <c r="O1" s="1" t="s">
        <v>56</v>
      </c>
      <c r="P1" s="1" t="s">
        <v>61</v>
      </c>
      <c r="Q1" s="1" t="s">
        <v>62</v>
      </c>
      <c r="R1" s="1" t="s">
        <v>63</v>
      </c>
      <c r="S1" s="1" t="s">
        <v>64</v>
      </c>
    </row>
    <row r="2" spans="1:19" x14ac:dyDescent="0.25">
      <c r="A2" t="s">
        <v>0</v>
      </c>
      <c r="B2">
        <f>2</f>
        <v>2</v>
      </c>
      <c r="C2" t="s">
        <v>21</v>
      </c>
      <c r="D2">
        <f>1+1</f>
        <v>2</v>
      </c>
      <c r="E2" t="s">
        <v>26</v>
      </c>
      <c r="F2">
        <v>0</v>
      </c>
      <c r="G2" t="s">
        <v>32</v>
      </c>
      <c r="H2">
        <f>1+1</f>
        <v>2</v>
      </c>
      <c r="I2" t="s">
        <v>44</v>
      </c>
      <c r="J2">
        <v>0</v>
      </c>
      <c r="K2" t="s">
        <v>53</v>
      </c>
      <c r="L2">
        <f>14+1+7+7+4+4+1+1</f>
        <v>39</v>
      </c>
      <c r="M2" t="s">
        <v>75</v>
      </c>
      <c r="N2" t="s">
        <v>70</v>
      </c>
      <c r="O2" t="s">
        <v>54</v>
      </c>
      <c r="P2">
        <f>8</f>
        <v>8</v>
      </c>
      <c r="Q2">
        <f>15+4+15+5+10.5+2.5+35+3</f>
        <v>90</v>
      </c>
      <c r="S2">
        <f>16</f>
        <v>16</v>
      </c>
    </row>
    <row r="3" spans="1:19" x14ac:dyDescent="0.25">
      <c r="A3" t="s">
        <v>1</v>
      </c>
      <c r="B3">
        <f>9+6+5+1+13+6</f>
        <v>40</v>
      </c>
      <c r="C3" t="s">
        <v>22</v>
      </c>
      <c r="D3">
        <f>13+15+1+3</f>
        <v>32</v>
      </c>
      <c r="E3" t="s">
        <v>27</v>
      </c>
      <c r="F3">
        <f>1+1+5+5</f>
        <v>12</v>
      </c>
      <c r="G3" t="s">
        <v>33</v>
      </c>
      <c r="H3">
        <v>0</v>
      </c>
      <c r="I3" t="s">
        <v>45</v>
      </c>
      <c r="J3">
        <v>0</v>
      </c>
      <c r="K3" t="s">
        <v>54</v>
      </c>
      <c r="L3">
        <f>54+12+6+45+4+9</f>
        <v>130</v>
      </c>
      <c r="M3" t="s">
        <v>76</v>
      </c>
      <c r="N3" t="s">
        <v>70</v>
      </c>
      <c r="O3" t="s">
        <v>77</v>
      </c>
    </row>
    <row r="4" spans="1:19" x14ac:dyDescent="0.25">
      <c r="A4" t="s">
        <v>2</v>
      </c>
      <c r="B4">
        <f>1+3+1+1</f>
        <v>6</v>
      </c>
      <c r="C4" t="s">
        <v>23</v>
      </c>
      <c r="D4">
        <f>2+1</f>
        <v>3</v>
      </c>
      <c r="E4" t="s">
        <v>28</v>
      </c>
      <c r="F4">
        <f>2+1</f>
        <v>3</v>
      </c>
      <c r="G4" t="s">
        <v>34</v>
      </c>
      <c r="H4">
        <v>0</v>
      </c>
      <c r="I4" t="s">
        <v>46</v>
      </c>
      <c r="J4">
        <v>0</v>
      </c>
      <c r="K4" t="s">
        <v>55</v>
      </c>
      <c r="L4">
        <f>24+27+55+6+8+6+22</f>
        <v>148</v>
      </c>
    </row>
    <row r="5" spans="1:19" x14ac:dyDescent="0.25">
      <c r="A5" t="s">
        <v>3</v>
      </c>
      <c r="B5">
        <f>1+1+1</f>
        <v>3</v>
      </c>
      <c r="C5" t="s">
        <v>24</v>
      </c>
      <c r="D5">
        <f>1+2+4+15+3+7+11+3</f>
        <v>46</v>
      </c>
      <c r="E5" t="s">
        <v>29</v>
      </c>
      <c r="F5">
        <f>1</f>
        <v>1</v>
      </c>
      <c r="G5" t="s">
        <v>38</v>
      </c>
      <c r="H5">
        <f>1+1+4+1+1</f>
        <v>8</v>
      </c>
      <c r="I5" t="s">
        <v>47</v>
      </c>
      <c r="J5">
        <f>1</f>
        <v>1</v>
      </c>
    </row>
    <row r="6" spans="1:19" x14ac:dyDescent="0.25">
      <c r="A6" t="s">
        <v>4</v>
      </c>
      <c r="B6">
        <f>22+16+18+21+9+35+25+22</f>
        <v>168</v>
      </c>
      <c r="E6" t="s">
        <v>30</v>
      </c>
      <c r="F6">
        <f>1</f>
        <v>1</v>
      </c>
      <c r="G6" t="s">
        <v>35</v>
      </c>
      <c r="H6">
        <f>3+1+8+6+13</f>
        <v>31</v>
      </c>
    </row>
    <row r="7" spans="1:19" x14ac:dyDescent="0.25">
      <c r="A7" t="s">
        <v>5</v>
      </c>
      <c r="B7">
        <f>7+1+1+1</f>
        <v>10</v>
      </c>
      <c r="G7" t="s">
        <v>36</v>
      </c>
      <c r="H7">
        <v>0</v>
      </c>
    </row>
    <row r="8" spans="1:19" x14ac:dyDescent="0.25">
      <c r="A8" t="s">
        <v>6</v>
      </c>
      <c r="B8">
        <f>14+1+6+3</f>
        <v>24</v>
      </c>
      <c r="G8" t="s">
        <v>37</v>
      </c>
      <c r="H8">
        <v>0</v>
      </c>
    </row>
    <row r="9" spans="1:19" x14ac:dyDescent="0.25">
      <c r="A9" t="s">
        <v>7</v>
      </c>
      <c r="B9">
        <f>7+14+10+9+3+7+1+9</f>
        <v>60</v>
      </c>
      <c r="G9" t="s">
        <v>39</v>
      </c>
    </row>
    <row r="10" spans="1:19" x14ac:dyDescent="0.25">
      <c r="A10" t="s">
        <v>8</v>
      </c>
      <c r="B10">
        <f>2+4+2+2+2</f>
        <v>12</v>
      </c>
      <c r="G10" t="s">
        <v>40</v>
      </c>
    </row>
    <row r="11" spans="1:19" x14ac:dyDescent="0.25">
      <c r="A11" t="s">
        <v>9</v>
      </c>
      <c r="B11">
        <f>4+2+10+2+6+2+1</f>
        <v>27</v>
      </c>
      <c r="G11" t="s">
        <v>41</v>
      </c>
    </row>
    <row r="12" spans="1:19" x14ac:dyDescent="0.25">
      <c r="A12" t="s">
        <v>10</v>
      </c>
      <c r="B12">
        <f>1+1+1+1</f>
        <v>4</v>
      </c>
      <c r="G12" t="s">
        <v>42</v>
      </c>
    </row>
    <row r="13" spans="1:19" x14ac:dyDescent="0.25">
      <c r="A13" t="s">
        <v>11</v>
      </c>
      <c r="B13">
        <f>1+10+1</f>
        <v>12</v>
      </c>
      <c r="G13" t="s">
        <v>48</v>
      </c>
    </row>
    <row r="14" spans="1:19" x14ac:dyDescent="0.25">
      <c r="A14" t="s">
        <v>12</v>
      </c>
      <c r="B14">
        <f>1+1+5</f>
        <v>7</v>
      </c>
      <c r="G14" t="s">
        <v>49</v>
      </c>
    </row>
    <row r="15" spans="1:19" x14ac:dyDescent="0.25">
      <c r="A15" t="s">
        <v>13</v>
      </c>
      <c r="B15">
        <f>1+1</f>
        <v>2</v>
      </c>
      <c r="G15" t="s">
        <v>50</v>
      </c>
    </row>
    <row r="16" spans="1:19" x14ac:dyDescent="0.25">
      <c r="A16" t="s">
        <v>14</v>
      </c>
      <c r="B16">
        <f>1</f>
        <v>1</v>
      </c>
      <c r="G16" t="s">
        <v>51</v>
      </c>
    </row>
    <row r="17" spans="1:2" x14ac:dyDescent="0.25">
      <c r="A17" t="s">
        <v>15</v>
      </c>
      <c r="B17">
        <f>1+1</f>
        <v>2</v>
      </c>
    </row>
    <row r="18" spans="1:2" x14ac:dyDescent="0.25">
      <c r="A18" t="s">
        <v>16</v>
      </c>
      <c r="B18">
        <f>3+1+4+2+1</f>
        <v>11</v>
      </c>
    </row>
    <row r="19" spans="1:2" x14ac:dyDescent="0.25">
      <c r="A19" t="s">
        <v>17</v>
      </c>
      <c r="B19">
        <f>1+1+1+2+1</f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L1" zoomScale="90" zoomScaleNormal="90" workbookViewId="0">
      <selection activeCell="Q17" sqref="Q17"/>
    </sheetView>
  </sheetViews>
  <sheetFormatPr defaultRowHeight="15" x14ac:dyDescent="0.25"/>
  <cols>
    <col min="1" max="1" width="26.42578125" bestFit="1" customWidth="1"/>
    <col min="3" max="3" width="27.5703125" bestFit="1" customWidth="1"/>
    <col min="5" max="5" width="35.140625" bestFit="1" customWidth="1"/>
    <col min="7" max="7" width="21.5703125" bestFit="1" customWidth="1"/>
    <col min="9" max="9" width="29" bestFit="1" customWidth="1"/>
    <col min="11" max="11" width="23.85546875" bestFit="1" customWidth="1"/>
    <col min="13" max="13" width="21.85546875" bestFit="1" customWidth="1"/>
    <col min="14" max="14" width="16.7109375" bestFit="1" customWidth="1"/>
    <col min="15" max="15" width="20.5703125" bestFit="1" customWidth="1"/>
    <col min="16" max="16" width="25.5703125" bestFit="1" customWidth="1"/>
    <col min="17" max="17" width="28.7109375" bestFit="1" customWidth="1"/>
    <col min="18" max="18" width="22.42578125" bestFit="1" customWidth="1"/>
    <col min="19" max="19" width="25.7109375" bestFit="1" customWidth="1"/>
  </cols>
  <sheetData>
    <row r="1" spans="1:19" x14ac:dyDescent="0.25">
      <c r="A1" s="1" t="s">
        <v>20</v>
      </c>
      <c r="B1" s="1" t="s">
        <v>18</v>
      </c>
      <c r="C1" s="1" t="s">
        <v>19</v>
      </c>
      <c r="D1" s="1" t="s">
        <v>18</v>
      </c>
      <c r="E1" s="1" t="s">
        <v>25</v>
      </c>
      <c r="F1" s="1" t="s">
        <v>18</v>
      </c>
      <c r="G1" s="1" t="s">
        <v>31</v>
      </c>
      <c r="H1" s="1" t="s">
        <v>18</v>
      </c>
      <c r="I1" s="1" t="s">
        <v>43</v>
      </c>
      <c r="J1" s="1" t="s">
        <v>18</v>
      </c>
      <c r="K1" s="1" t="s">
        <v>52</v>
      </c>
      <c r="L1" s="1" t="s">
        <v>18</v>
      </c>
      <c r="M1" s="1" t="s">
        <v>74</v>
      </c>
      <c r="N1" s="1" t="s">
        <v>66</v>
      </c>
      <c r="O1" s="1" t="s">
        <v>56</v>
      </c>
      <c r="P1" s="1" t="s">
        <v>61</v>
      </c>
      <c r="Q1" s="1" t="s">
        <v>62</v>
      </c>
      <c r="R1" s="1" t="s">
        <v>63</v>
      </c>
      <c r="S1" s="1" t="s">
        <v>64</v>
      </c>
    </row>
    <row r="2" spans="1:19" x14ac:dyDescent="0.25">
      <c r="A2" t="s">
        <v>0</v>
      </c>
      <c r="B2">
        <f>35+56+39+10+60+3+15+15+125+75+70+3</f>
        <v>506</v>
      </c>
      <c r="C2" t="s">
        <v>21</v>
      </c>
      <c r="D2">
        <f>1+1</f>
        <v>2</v>
      </c>
      <c r="E2" t="s">
        <v>26</v>
      </c>
      <c r="F2">
        <f>1</f>
        <v>1</v>
      </c>
      <c r="G2" t="s">
        <v>32</v>
      </c>
      <c r="H2">
        <f>6</f>
        <v>6</v>
      </c>
      <c r="I2" t="s">
        <v>44</v>
      </c>
      <c r="J2">
        <f>3</f>
        <v>3</v>
      </c>
      <c r="K2" t="s">
        <v>53</v>
      </c>
      <c r="L2">
        <f>7+7+1+3+12+1+8</f>
        <v>39</v>
      </c>
      <c r="M2" t="s">
        <v>80</v>
      </c>
      <c r="N2" t="s">
        <v>70</v>
      </c>
      <c r="O2" t="s">
        <v>78</v>
      </c>
      <c r="P2">
        <f>1+4+1+1+2+1+11+3+2+1+6+10+1+6</f>
        <v>50</v>
      </c>
      <c r="Q2">
        <f>15+15+25+3+20+2+175+100+15+15+8+200+400+19+180</f>
        <v>1192</v>
      </c>
      <c r="R2">
        <v>0.28000000000000003</v>
      </c>
      <c r="S2">
        <f>2+3+2+2+4+3+4+2+3+3+7+4+3</f>
        <v>42</v>
      </c>
    </row>
    <row r="3" spans="1:19" x14ac:dyDescent="0.25">
      <c r="A3" t="s">
        <v>1</v>
      </c>
      <c r="B3">
        <f>3+78+13+15+25+5+3+15+29+225+50+52</f>
        <v>513</v>
      </c>
      <c r="C3" t="s">
        <v>22</v>
      </c>
      <c r="D3">
        <f>1+1+1+2+2</f>
        <v>7</v>
      </c>
      <c r="E3" t="s">
        <v>27</v>
      </c>
      <c r="F3">
        <f>10+10+8+9+20</f>
        <v>57</v>
      </c>
      <c r="G3" t="s">
        <v>33</v>
      </c>
      <c r="H3">
        <f>1+1</f>
        <v>2</v>
      </c>
      <c r="I3" t="s">
        <v>45</v>
      </c>
      <c r="J3">
        <v>0</v>
      </c>
      <c r="K3" t="s">
        <v>54</v>
      </c>
      <c r="L3">
        <f>17+30+31+2+3+6+29+14+6+3</f>
        <v>141</v>
      </c>
      <c r="M3" t="s">
        <v>76</v>
      </c>
      <c r="N3" t="s">
        <v>81</v>
      </c>
      <c r="O3" t="s">
        <v>79</v>
      </c>
    </row>
    <row r="4" spans="1:19" x14ac:dyDescent="0.25">
      <c r="A4" t="s">
        <v>2</v>
      </c>
      <c r="B4">
        <f>5+5+3+2+2+17+2+210+11+3</f>
        <v>260</v>
      </c>
      <c r="C4" t="s">
        <v>23</v>
      </c>
      <c r="D4">
        <f>7+1</f>
        <v>8</v>
      </c>
      <c r="E4" t="s">
        <v>28</v>
      </c>
      <c r="F4">
        <f>5+1+1+4</f>
        <v>11</v>
      </c>
      <c r="G4" t="s">
        <v>34</v>
      </c>
      <c r="H4">
        <f>2+132+2+33+2</f>
        <v>171</v>
      </c>
      <c r="I4" t="s">
        <v>46</v>
      </c>
      <c r="J4">
        <f>2</f>
        <v>2</v>
      </c>
      <c r="K4" t="s">
        <v>55</v>
      </c>
      <c r="L4">
        <f>18+20+65+20+5+7+27+26+66+13+19+52</f>
        <v>338</v>
      </c>
      <c r="M4" t="s">
        <v>82</v>
      </c>
      <c r="N4" t="s">
        <v>70</v>
      </c>
    </row>
    <row r="5" spans="1:19" x14ac:dyDescent="0.25">
      <c r="A5" t="s">
        <v>3</v>
      </c>
      <c r="B5">
        <f>4+2+5+3+1+120+10+3</f>
        <v>148</v>
      </c>
      <c r="C5" t="s">
        <v>24</v>
      </c>
      <c r="D5">
        <f>1+3+1+2+8+1+5</f>
        <v>21</v>
      </c>
      <c r="E5" t="s">
        <v>29</v>
      </c>
      <c r="F5">
        <f>9+1</f>
        <v>10</v>
      </c>
      <c r="G5" t="s">
        <v>38</v>
      </c>
      <c r="H5">
        <f>1+1+1+5+3+1+2</f>
        <v>14</v>
      </c>
      <c r="I5" t="s">
        <v>47</v>
      </c>
      <c r="J5">
        <f>1+1</f>
        <v>2</v>
      </c>
    </row>
    <row r="6" spans="1:19" x14ac:dyDescent="0.25">
      <c r="A6" t="s">
        <v>4</v>
      </c>
      <c r="B6">
        <f>30+20+12+17+13+10+1+13+28+19+300+6+14+15</f>
        <v>498</v>
      </c>
      <c r="E6" t="s">
        <v>30</v>
      </c>
      <c r="F6">
        <f>2+1+3+16</f>
        <v>22</v>
      </c>
      <c r="G6" t="s">
        <v>35</v>
      </c>
      <c r="H6">
        <f>5+3+1+2+8+1+3+3+7</f>
        <v>33</v>
      </c>
    </row>
    <row r="7" spans="1:19" x14ac:dyDescent="0.25">
      <c r="A7" t="s">
        <v>5</v>
      </c>
      <c r="B7">
        <f>1+25+38+17+15+72+5+1+33+46+60+390+3+60+25</f>
        <v>791</v>
      </c>
      <c r="G7" t="s">
        <v>36</v>
      </c>
      <c r="H7">
        <v>0</v>
      </c>
    </row>
    <row r="8" spans="1:19" x14ac:dyDescent="0.25">
      <c r="A8" t="s">
        <v>6</v>
      </c>
      <c r="B8">
        <f>10+1+5+1+2+2+5+5+66+8+17</f>
        <v>122</v>
      </c>
      <c r="G8" t="s">
        <v>37</v>
      </c>
      <c r="H8">
        <f>2+2+2</f>
        <v>6</v>
      </c>
    </row>
    <row r="9" spans="1:19" x14ac:dyDescent="0.25">
      <c r="A9" t="s">
        <v>7</v>
      </c>
      <c r="B9">
        <f>2+1+42+85+20+30+2+18+52+38+129+17+50+29</f>
        <v>515</v>
      </c>
      <c r="G9" t="s">
        <v>39</v>
      </c>
    </row>
    <row r="10" spans="1:19" x14ac:dyDescent="0.25">
      <c r="A10" t="s">
        <v>8</v>
      </c>
      <c r="B10">
        <f>10+4+18+5+1+10+7+132+5+11+22</f>
        <v>225</v>
      </c>
      <c r="G10" t="s">
        <v>40</v>
      </c>
    </row>
    <row r="11" spans="1:19" x14ac:dyDescent="0.25">
      <c r="A11" t="s">
        <v>9</v>
      </c>
      <c r="B11">
        <f>25+7+4+3+47+3+27+3+300+511+8+113</f>
        <v>1051</v>
      </c>
      <c r="G11" t="s">
        <v>41</v>
      </c>
    </row>
    <row r="12" spans="1:19" x14ac:dyDescent="0.25">
      <c r="A12" t="s">
        <v>10</v>
      </c>
      <c r="B12">
        <f>4+30+7+12+12+35+8+33+3+2+330+610+8+54</f>
        <v>1148</v>
      </c>
      <c r="G12" t="s">
        <v>42</v>
      </c>
    </row>
    <row r="13" spans="1:19" x14ac:dyDescent="0.25">
      <c r="A13" t="s">
        <v>11</v>
      </c>
      <c r="B13">
        <f>2+25+3+1+6+2+15+3+15+2+4+168+313+9+47</f>
        <v>615</v>
      </c>
      <c r="G13" t="s">
        <v>48</v>
      </c>
    </row>
    <row r="14" spans="1:19" x14ac:dyDescent="0.25">
      <c r="A14" t="s">
        <v>12</v>
      </c>
      <c r="B14">
        <f>25+3+1+10+1+36+51+16</f>
        <v>143</v>
      </c>
      <c r="G14" t="s">
        <v>49</v>
      </c>
    </row>
    <row r="15" spans="1:19" x14ac:dyDescent="0.25">
      <c r="A15" t="s">
        <v>13</v>
      </c>
      <c r="B15">
        <f>36+15+17+1+2+1+138+31+37+12</f>
        <v>290</v>
      </c>
      <c r="G15" t="s">
        <v>50</v>
      </c>
    </row>
    <row r="16" spans="1:19" x14ac:dyDescent="0.25">
      <c r="A16" t="s">
        <v>14</v>
      </c>
      <c r="B16">
        <f>1+7+3+5+2+5+1+1+9+3+4+20</f>
        <v>61</v>
      </c>
      <c r="G16" t="s">
        <v>51</v>
      </c>
    </row>
    <row r="17" spans="1:2" x14ac:dyDescent="0.25">
      <c r="A17" t="s">
        <v>15</v>
      </c>
      <c r="B17">
        <f>5+5+63+6+2+3+11+6+3</f>
        <v>104</v>
      </c>
    </row>
    <row r="18" spans="1:2" x14ac:dyDescent="0.25">
      <c r="A18" t="s">
        <v>16</v>
      </c>
      <c r="B18">
        <f>18+9+2+20+12+10+3+30+1+4+45+45+16+43</f>
        <v>258</v>
      </c>
    </row>
    <row r="19" spans="1:2" x14ac:dyDescent="0.25">
      <c r="A19" t="s">
        <v>17</v>
      </c>
      <c r="B19">
        <f>6+3+7+3+3+39+20</f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B2" sqref="B2"/>
    </sheetView>
  </sheetViews>
  <sheetFormatPr defaultRowHeight="15" x14ac:dyDescent="0.25"/>
  <cols>
    <col min="1" max="1" width="26.42578125" bestFit="1" customWidth="1"/>
    <col min="3" max="3" width="27.5703125" bestFit="1" customWidth="1"/>
    <col min="5" max="5" width="35.140625" bestFit="1" customWidth="1"/>
    <col min="7" max="7" width="21.5703125" bestFit="1" customWidth="1"/>
    <col min="9" max="9" width="29" bestFit="1" customWidth="1"/>
    <col min="11" max="11" width="23.85546875" bestFit="1" customWidth="1"/>
    <col min="13" max="13" width="21.85546875" bestFit="1" customWidth="1"/>
    <col min="14" max="14" width="16.7109375" bestFit="1" customWidth="1"/>
    <col min="15" max="15" width="20.5703125" bestFit="1" customWidth="1"/>
    <col min="16" max="16" width="25.5703125" bestFit="1" customWidth="1"/>
    <col min="17" max="17" width="28.7109375" bestFit="1" customWidth="1"/>
    <col min="18" max="18" width="22.42578125" bestFit="1" customWidth="1"/>
    <col min="19" max="19" width="25.7109375" bestFit="1" customWidth="1"/>
  </cols>
  <sheetData>
    <row r="1" spans="1:19" x14ac:dyDescent="0.25">
      <c r="A1" s="1" t="s">
        <v>20</v>
      </c>
      <c r="B1" s="1" t="s">
        <v>18</v>
      </c>
      <c r="C1" s="1" t="s">
        <v>19</v>
      </c>
      <c r="D1" s="1" t="s">
        <v>18</v>
      </c>
      <c r="E1" s="1" t="s">
        <v>25</v>
      </c>
      <c r="F1" s="1" t="s">
        <v>18</v>
      </c>
      <c r="G1" s="1" t="s">
        <v>31</v>
      </c>
      <c r="H1" s="1" t="s">
        <v>18</v>
      </c>
      <c r="I1" s="1" t="s">
        <v>43</v>
      </c>
      <c r="J1" s="1" t="s">
        <v>18</v>
      </c>
      <c r="K1" s="1" t="s">
        <v>52</v>
      </c>
      <c r="L1" s="1" t="s">
        <v>18</v>
      </c>
      <c r="M1" s="1" t="s">
        <v>74</v>
      </c>
      <c r="N1" s="1" t="s">
        <v>66</v>
      </c>
      <c r="O1" s="1" t="s">
        <v>56</v>
      </c>
      <c r="P1" s="1" t="s">
        <v>61</v>
      </c>
      <c r="Q1" s="1" t="s">
        <v>62</v>
      </c>
      <c r="R1" s="1" t="s">
        <v>63</v>
      </c>
      <c r="S1" s="1" t="s">
        <v>64</v>
      </c>
    </row>
    <row r="2" spans="1:19" x14ac:dyDescent="0.25">
      <c r="A2" t="s">
        <v>0</v>
      </c>
      <c r="B2">
        <f>1+30+36+35+40+4</f>
        <v>146</v>
      </c>
      <c r="C2" t="s">
        <v>21</v>
      </c>
      <c r="D2">
        <f>1</f>
        <v>1</v>
      </c>
      <c r="E2" t="s">
        <v>26</v>
      </c>
      <c r="F2">
        <f>4+3+3+4</f>
        <v>14</v>
      </c>
      <c r="G2" t="s">
        <v>32</v>
      </c>
      <c r="H2">
        <f>5+1+1</f>
        <v>7</v>
      </c>
      <c r="I2" t="s">
        <v>44</v>
      </c>
      <c r="J2">
        <f>3+1+1+1+1+1+1</f>
        <v>9</v>
      </c>
      <c r="K2" t="s">
        <v>53</v>
      </c>
      <c r="L2">
        <f>7+7+4+1+7+5+5+6+17+4+30</f>
        <v>93</v>
      </c>
      <c r="M2" t="s">
        <v>83</v>
      </c>
      <c r="N2" t="s">
        <v>70</v>
      </c>
      <c r="O2" t="s">
        <v>84</v>
      </c>
      <c r="P2">
        <f>4+1+11+3+2+2+2+1+1+3+1+1+2+2+3+1</f>
        <v>40</v>
      </c>
      <c r="Q2">
        <f>90+45+21+15+100+70+30+50+25+55+10+25+25+35+110+40</f>
        <v>746</v>
      </c>
      <c r="R2">
        <v>1</v>
      </c>
      <c r="S2">
        <f>7+5+7+6+6+2+2+2+2+2+2</f>
        <v>43</v>
      </c>
    </row>
    <row r="3" spans="1:19" x14ac:dyDescent="0.25">
      <c r="A3" t="s">
        <v>1</v>
      </c>
      <c r="B3">
        <f>14+11+3+23+17+1+24+2+30+19+20+5+9+7+2</f>
        <v>187</v>
      </c>
      <c r="C3" t="s">
        <v>22</v>
      </c>
      <c r="D3">
        <f>1+1+4</f>
        <v>6</v>
      </c>
      <c r="E3" t="s">
        <v>27</v>
      </c>
      <c r="F3">
        <f>5+2+7+14+3+18+17+6</f>
        <v>72</v>
      </c>
      <c r="G3" t="s">
        <v>33</v>
      </c>
      <c r="H3">
        <f>0</f>
        <v>0</v>
      </c>
      <c r="I3" t="s">
        <v>45</v>
      </c>
      <c r="J3">
        <f>1+1+1+2+1</f>
        <v>6</v>
      </c>
      <c r="K3" t="s">
        <v>54</v>
      </c>
      <c r="L3">
        <f>12+14+1+10+5+5+10+6+2+40</f>
        <v>105</v>
      </c>
      <c r="O3" t="s">
        <v>85</v>
      </c>
    </row>
    <row r="4" spans="1:19" x14ac:dyDescent="0.25">
      <c r="A4" t="s">
        <v>2</v>
      </c>
      <c r="B4">
        <f>5+3+2+5+3+22+10+21</f>
        <v>71</v>
      </c>
      <c r="C4" t="s">
        <v>23</v>
      </c>
      <c r="D4">
        <f>2+1+2</f>
        <v>5</v>
      </c>
      <c r="E4" t="s">
        <v>28</v>
      </c>
      <c r="F4">
        <f>8+8+5+6+7+2+1+10</f>
        <v>47</v>
      </c>
      <c r="G4" t="s">
        <v>34</v>
      </c>
      <c r="H4">
        <f>2+2+1</f>
        <v>5</v>
      </c>
      <c r="I4" t="s">
        <v>46</v>
      </c>
      <c r="J4">
        <f>1+2</f>
        <v>3</v>
      </c>
      <c r="K4" t="s">
        <v>55</v>
      </c>
      <c r="L4">
        <f>11+25+7+3+21+9+22+1+40+40+12</f>
        <v>191</v>
      </c>
    </row>
    <row r="5" spans="1:19" x14ac:dyDescent="0.25">
      <c r="A5" t="s">
        <v>3</v>
      </c>
      <c r="B5">
        <f>2+4+5+4+2+10+6+2+9+9+10</f>
        <v>63</v>
      </c>
      <c r="C5" t="s">
        <v>24</v>
      </c>
      <c r="D5">
        <f>2+2+1+1+1+5+1+1</f>
        <v>14</v>
      </c>
      <c r="E5" t="s">
        <v>29</v>
      </c>
      <c r="F5">
        <f>1+2+3+1+1</f>
        <v>8</v>
      </c>
      <c r="G5" t="s">
        <v>38</v>
      </c>
      <c r="H5">
        <f>3+1+1+1+1</f>
        <v>7</v>
      </c>
      <c r="I5" t="s">
        <v>47</v>
      </c>
      <c r="J5">
        <f>1</f>
        <v>1</v>
      </c>
    </row>
    <row r="6" spans="1:19" x14ac:dyDescent="0.25">
      <c r="A6" t="s">
        <v>4</v>
      </c>
      <c r="B6">
        <f>10+3+10+7+10+1+1+7+10+5+3+4</f>
        <v>71</v>
      </c>
      <c r="E6" t="s">
        <v>30</v>
      </c>
      <c r="F6">
        <f>2+5+2+2+4+6+36</f>
        <v>57</v>
      </c>
      <c r="G6" t="s">
        <v>35</v>
      </c>
      <c r="H6">
        <f>16+4+1+1+3+1+6+3</f>
        <v>35</v>
      </c>
    </row>
    <row r="7" spans="1:19" x14ac:dyDescent="0.25">
      <c r="A7" t="s">
        <v>5</v>
      </c>
      <c r="B7">
        <f>12+3+6+3+1+2+2+10+2</f>
        <v>41</v>
      </c>
      <c r="G7" t="s">
        <v>36</v>
      </c>
      <c r="H7">
        <v>0</v>
      </c>
    </row>
    <row r="8" spans="1:19" x14ac:dyDescent="0.25">
      <c r="A8" t="s">
        <v>6</v>
      </c>
      <c r="B8">
        <f>1+2+1+12+4+1+2+6+1+2+1+1</f>
        <v>34</v>
      </c>
      <c r="G8" t="s">
        <v>37</v>
      </c>
      <c r="H8">
        <f>1+1+7+1+3+1</f>
        <v>14</v>
      </c>
    </row>
    <row r="9" spans="1:19" x14ac:dyDescent="0.25">
      <c r="A9" t="s">
        <v>7</v>
      </c>
      <c r="B9">
        <f>1+18+6+4+7+2+17+13+1</f>
        <v>69</v>
      </c>
      <c r="G9" t="s">
        <v>39</v>
      </c>
    </row>
    <row r="10" spans="1:19" x14ac:dyDescent="0.25">
      <c r="A10" t="s">
        <v>8</v>
      </c>
      <c r="B10">
        <f>11+1+3+21+3+1+4+3+4+6+1+36+2</f>
        <v>96</v>
      </c>
      <c r="G10" t="s">
        <v>40</v>
      </c>
    </row>
    <row r="11" spans="1:19" x14ac:dyDescent="0.25">
      <c r="A11" t="s">
        <v>9</v>
      </c>
      <c r="B11">
        <f>15+16+22+26+31+37+39+11+25+50+30+6+5+45+2+65+30</f>
        <v>455</v>
      </c>
      <c r="G11" t="s">
        <v>41</v>
      </c>
    </row>
    <row r="12" spans="1:19" x14ac:dyDescent="0.25">
      <c r="A12" t="s">
        <v>10</v>
      </c>
      <c r="B12">
        <f>20+12+22+30+16+34+17+13+55+30+13+5+28+10+80+26</f>
        <v>411</v>
      </c>
      <c r="G12" t="s">
        <v>42</v>
      </c>
    </row>
    <row r="13" spans="1:19" x14ac:dyDescent="0.25">
      <c r="A13" t="s">
        <v>11</v>
      </c>
      <c r="B13">
        <f>20+100+35+19+16+2+16+14+43+16+4+4+26+3+29</f>
        <v>347</v>
      </c>
      <c r="G13" t="s">
        <v>48</v>
      </c>
    </row>
    <row r="14" spans="1:19" x14ac:dyDescent="0.25">
      <c r="A14" t="s">
        <v>12</v>
      </c>
      <c r="B14">
        <f>3+4+12+20+2+5+14+16+16+1+6+14+10</f>
        <v>123</v>
      </c>
      <c r="G14" t="s">
        <v>49</v>
      </c>
    </row>
    <row r="15" spans="1:19" x14ac:dyDescent="0.25">
      <c r="A15" t="s">
        <v>13</v>
      </c>
      <c r="B15">
        <f>6+1+3+24+18+8+5+10+3+8+5+5+5</f>
        <v>101</v>
      </c>
      <c r="G15" t="s">
        <v>50</v>
      </c>
    </row>
    <row r="16" spans="1:19" x14ac:dyDescent="0.25">
      <c r="A16" t="s">
        <v>14</v>
      </c>
      <c r="B16">
        <f>5+2+10+8+3+1+2+3+5+1+1</f>
        <v>41</v>
      </c>
      <c r="G16" t="s">
        <v>51</v>
      </c>
    </row>
    <row r="17" spans="1:2" x14ac:dyDescent="0.25">
      <c r="A17" t="s">
        <v>15</v>
      </c>
      <c r="B17">
        <f>9+1+1+5+8+7+1+9+2+4+4+12</f>
        <v>63</v>
      </c>
    </row>
    <row r="18" spans="1:2" x14ac:dyDescent="0.25">
      <c r="A18" t="s">
        <v>16</v>
      </c>
      <c r="B18">
        <f>10+3+12+18+1+9+15+7+16+5+2+14+11+5+12</f>
        <v>140</v>
      </c>
    </row>
    <row r="19" spans="1:2" x14ac:dyDescent="0.25">
      <c r="A19" t="s">
        <v>17</v>
      </c>
      <c r="B19">
        <f>7+2+3+3+6+8+9+5+8+2+2+3+2+10</f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J1" workbookViewId="0">
      <selection activeCell="M14" sqref="M14"/>
    </sheetView>
  </sheetViews>
  <sheetFormatPr defaultRowHeight="15" x14ac:dyDescent="0.25"/>
  <cols>
    <col min="1" max="1" width="26.42578125" bestFit="1" customWidth="1"/>
    <col min="3" max="3" width="27.5703125" bestFit="1" customWidth="1"/>
    <col min="5" max="5" width="35.140625" bestFit="1" customWidth="1"/>
    <col min="7" max="7" width="21.5703125" bestFit="1" customWidth="1"/>
    <col min="9" max="9" width="29" bestFit="1" customWidth="1"/>
    <col min="11" max="11" width="23.85546875" bestFit="1" customWidth="1"/>
    <col min="13" max="13" width="21.85546875" bestFit="1" customWidth="1"/>
    <col min="14" max="14" width="16.7109375" bestFit="1" customWidth="1"/>
    <col min="15" max="15" width="20.5703125" bestFit="1" customWidth="1"/>
    <col min="16" max="16" width="25.5703125" bestFit="1" customWidth="1"/>
    <col min="17" max="17" width="28.7109375" bestFit="1" customWidth="1"/>
    <col min="18" max="18" width="22.42578125" bestFit="1" customWidth="1"/>
    <col min="19" max="19" width="25.7109375" bestFit="1" customWidth="1"/>
  </cols>
  <sheetData>
    <row r="1" spans="1:19" x14ac:dyDescent="0.25">
      <c r="A1" s="1" t="s">
        <v>20</v>
      </c>
      <c r="B1" s="1" t="s">
        <v>18</v>
      </c>
      <c r="C1" s="1" t="s">
        <v>19</v>
      </c>
      <c r="D1" s="1" t="s">
        <v>18</v>
      </c>
      <c r="E1" s="1" t="s">
        <v>25</v>
      </c>
      <c r="F1" s="1" t="s">
        <v>18</v>
      </c>
      <c r="G1" s="1" t="s">
        <v>31</v>
      </c>
      <c r="H1" s="1" t="s">
        <v>18</v>
      </c>
      <c r="I1" s="1" t="s">
        <v>43</v>
      </c>
      <c r="J1" s="1" t="s">
        <v>18</v>
      </c>
      <c r="K1" s="1" t="s">
        <v>52</v>
      </c>
      <c r="L1" s="1" t="s">
        <v>18</v>
      </c>
      <c r="M1" s="1" t="s">
        <v>74</v>
      </c>
      <c r="N1" s="1" t="s">
        <v>66</v>
      </c>
      <c r="O1" s="1" t="s">
        <v>56</v>
      </c>
      <c r="P1" s="1" t="s">
        <v>61</v>
      </c>
      <c r="Q1" s="1" t="s">
        <v>62</v>
      </c>
      <c r="R1" s="1" t="s">
        <v>63</v>
      </c>
      <c r="S1" s="1" t="s">
        <v>64</v>
      </c>
    </row>
    <row r="2" spans="1:19" x14ac:dyDescent="0.25">
      <c r="A2" t="s">
        <v>0</v>
      </c>
      <c r="B2">
        <f>13+12+2+25+5</f>
        <v>57</v>
      </c>
      <c r="C2" t="s">
        <v>21</v>
      </c>
      <c r="D2">
        <f>3+2+10+1+1</f>
        <v>17</v>
      </c>
      <c r="E2" t="s">
        <v>26</v>
      </c>
      <c r="F2">
        <f>1+2+3+3</f>
        <v>9</v>
      </c>
      <c r="G2" t="s">
        <v>32</v>
      </c>
      <c r="H2">
        <f>1+3+3+1</f>
        <v>8</v>
      </c>
      <c r="I2" t="s">
        <v>44</v>
      </c>
      <c r="J2">
        <f>1+2+2+1+1</f>
        <v>7</v>
      </c>
      <c r="K2" t="s">
        <v>53</v>
      </c>
      <c r="L2">
        <f>1+1+3+1</f>
        <v>6</v>
      </c>
      <c r="M2" t="s">
        <v>86</v>
      </c>
      <c r="N2" t="s">
        <v>70</v>
      </c>
      <c r="O2" t="s">
        <v>84</v>
      </c>
      <c r="P2">
        <f>1+0.5+1+1+2+1+2+2.5+2+1+1+1+1+2+1+1</f>
        <v>21</v>
      </c>
      <c r="Q2">
        <f>15+1+10+11+45+15+15+15+170+45+10+55+15+17+151+86+10</f>
        <v>686</v>
      </c>
      <c r="R2">
        <v>1</v>
      </c>
      <c r="S2">
        <f>10+22</f>
        <v>32</v>
      </c>
    </row>
    <row r="3" spans="1:19" x14ac:dyDescent="0.25">
      <c r="A3" t="s">
        <v>1</v>
      </c>
      <c r="B3">
        <f>1+1+2+11+3+3+13+2+5+2+2+11</f>
        <v>56</v>
      </c>
      <c r="C3" t="s">
        <v>22</v>
      </c>
      <c r="D3">
        <f>1+2+1+1</f>
        <v>5</v>
      </c>
      <c r="E3" t="s">
        <v>27</v>
      </c>
      <c r="F3">
        <f>10+19+8+2+1+3+1</f>
        <v>44</v>
      </c>
      <c r="G3" t="s">
        <v>33</v>
      </c>
      <c r="H3">
        <f>1</f>
        <v>1</v>
      </c>
      <c r="I3" t="s">
        <v>45</v>
      </c>
      <c r="J3">
        <v>0</v>
      </c>
      <c r="K3" t="s">
        <v>54</v>
      </c>
      <c r="L3">
        <f>5+1+8+3+34+81</f>
        <v>132</v>
      </c>
      <c r="O3" t="s">
        <v>85</v>
      </c>
    </row>
    <row r="4" spans="1:19" x14ac:dyDescent="0.25">
      <c r="A4" t="s">
        <v>2</v>
      </c>
      <c r="B4">
        <f>1+2+7+1+2</f>
        <v>13</v>
      </c>
      <c r="C4" t="s">
        <v>23</v>
      </c>
      <c r="D4">
        <f>1+4+34+1+1+2+7</f>
        <v>50</v>
      </c>
      <c r="E4" t="s">
        <v>28</v>
      </c>
      <c r="F4">
        <f>5+2+2+1+3+4+1+1</f>
        <v>19</v>
      </c>
      <c r="G4" t="s">
        <v>34</v>
      </c>
      <c r="H4">
        <f>0</f>
        <v>0</v>
      </c>
      <c r="I4" t="s">
        <v>46</v>
      </c>
      <c r="J4">
        <v>0</v>
      </c>
      <c r="K4" t="s">
        <v>55</v>
      </c>
      <c r="L4">
        <f>15+39+10+5+6+23+10+7+20</f>
        <v>135</v>
      </c>
    </row>
    <row r="5" spans="1:19" x14ac:dyDescent="0.25">
      <c r="A5" t="s">
        <v>3</v>
      </c>
      <c r="B5">
        <f>3+4+2+1+10+3</f>
        <v>23</v>
      </c>
      <c r="C5" t="s">
        <v>24</v>
      </c>
      <c r="D5">
        <f>1+5+1+2+4+2+3</f>
        <v>18</v>
      </c>
      <c r="E5" t="s">
        <v>29</v>
      </c>
      <c r="F5">
        <f>2+1</f>
        <v>3</v>
      </c>
      <c r="G5" t="s">
        <v>38</v>
      </c>
      <c r="H5">
        <f>6+3+3+1+1</f>
        <v>14</v>
      </c>
      <c r="I5" t="s">
        <v>47</v>
      </c>
      <c r="J5">
        <v>0</v>
      </c>
    </row>
    <row r="6" spans="1:19" x14ac:dyDescent="0.25">
      <c r="A6" t="s">
        <v>4</v>
      </c>
      <c r="B6">
        <f>4+1+2+1+26+4+13+2+9+2+7+4</f>
        <v>75</v>
      </c>
      <c r="E6" t="s">
        <v>30</v>
      </c>
      <c r="F6">
        <f>2+5</f>
        <v>7</v>
      </c>
      <c r="G6" t="s">
        <v>35</v>
      </c>
      <c r="H6">
        <f>2+1+1+6+1</f>
        <v>11</v>
      </c>
    </row>
    <row r="7" spans="1:19" x14ac:dyDescent="0.25">
      <c r="A7" t="s">
        <v>5</v>
      </c>
      <c r="B7">
        <f>25+8+11+4+4+3+9+5</f>
        <v>69</v>
      </c>
      <c r="G7" t="s">
        <v>36</v>
      </c>
      <c r="H7">
        <v>0</v>
      </c>
    </row>
    <row r="8" spans="1:19" x14ac:dyDescent="0.25">
      <c r="A8" t="s">
        <v>6</v>
      </c>
      <c r="B8">
        <f>2+2+8+1+3+1</f>
        <v>17</v>
      </c>
      <c r="G8" t="s">
        <v>37</v>
      </c>
      <c r="H8">
        <f>1+1+2+2+2+2+2</f>
        <v>12</v>
      </c>
    </row>
    <row r="9" spans="1:19" x14ac:dyDescent="0.25">
      <c r="A9" t="s">
        <v>7</v>
      </c>
      <c r="B9">
        <f>5+3+5+1</f>
        <v>14</v>
      </c>
      <c r="G9" t="s">
        <v>39</v>
      </c>
    </row>
    <row r="10" spans="1:19" x14ac:dyDescent="0.25">
      <c r="A10" t="s">
        <v>8</v>
      </c>
      <c r="B10">
        <f>2+2+16+3+2+3+4+3</f>
        <v>35</v>
      </c>
      <c r="G10" t="s">
        <v>40</v>
      </c>
    </row>
    <row r="11" spans="1:19" x14ac:dyDescent="0.25">
      <c r="A11" t="s">
        <v>9</v>
      </c>
      <c r="B11">
        <f>29+5+26+25+13+8+13+15+12+6+8+25+12+9+44</f>
        <v>250</v>
      </c>
      <c r="G11" t="s">
        <v>41</v>
      </c>
    </row>
    <row r="12" spans="1:19" x14ac:dyDescent="0.25">
      <c r="A12" t="s">
        <v>10</v>
      </c>
      <c r="B12">
        <f>30+14+27+2+1+3+11+4+9+4+50+20+8+50+10</f>
        <v>243</v>
      </c>
      <c r="G12" t="s">
        <v>42</v>
      </c>
    </row>
    <row r="13" spans="1:19" x14ac:dyDescent="0.25">
      <c r="A13" t="s">
        <v>11</v>
      </c>
      <c r="B13">
        <f>17+13+19+122+23+9+8+5+8+3+6+12+5+6</f>
        <v>256</v>
      </c>
      <c r="G13" t="s">
        <v>48</v>
      </c>
    </row>
    <row r="14" spans="1:19" x14ac:dyDescent="0.25">
      <c r="A14" t="s">
        <v>12</v>
      </c>
      <c r="B14">
        <f>4+2+1+2+6+2+3+4+3+3</f>
        <v>30</v>
      </c>
      <c r="G14" t="s">
        <v>49</v>
      </c>
    </row>
    <row r="15" spans="1:19" x14ac:dyDescent="0.25">
      <c r="A15" t="s">
        <v>13</v>
      </c>
      <c r="B15">
        <f>1+5+2+7+1+2+2+9+12+2+5</f>
        <v>48</v>
      </c>
      <c r="G15" t="s">
        <v>50</v>
      </c>
    </row>
    <row r="16" spans="1:19" x14ac:dyDescent="0.25">
      <c r="A16" t="s">
        <v>14</v>
      </c>
      <c r="B16">
        <f>2+4+1+1+5+2+2</f>
        <v>17</v>
      </c>
      <c r="G16" t="s">
        <v>51</v>
      </c>
    </row>
    <row r="17" spans="1:2" x14ac:dyDescent="0.25">
      <c r="A17" t="s">
        <v>15</v>
      </c>
      <c r="B17">
        <f>6+15+10+6+8+2+2+2</f>
        <v>51</v>
      </c>
    </row>
    <row r="18" spans="1:2" x14ac:dyDescent="0.25">
      <c r="A18" t="s">
        <v>16</v>
      </c>
      <c r="B18">
        <f>7+2+10+1+5+5+4+1+2</f>
        <v>37</v>
      </c>
    </row>
    <row r="19" spans="1:2" x14ac:dyDescent="0.25">
      <c r="A19" t="s">
        <v>17</v>
      </c>
      <c r="B19">
        <f>2+5+2+1+3+2+1</f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60" zoomScaleNormal="60" workbookViewId="0">
      <selection activeCell="K2" sqref="K2:K4"/>
    </sheetView>
  </sheetViews>
  <sheetFormatPr defaultRowHeight="15" x14ac:dyDescent="0.25"/>
  <cols>
    <col min="1" max="1" width="26.42578125" bestFit="1" customWidth="1"/>
    <col min="3" max="3" width="27.5703125" bestFit="1" customWidth="1"/>
    <col min="5" max="5" width="35.140625" bestFit="1" customWidth="1"/>
    <col min="7" max="7" width="21.5703125" bestFit="1" customWidth="1"/>
    <col min="9" max="9" width="29" bestFit="1" customWidth="1"/>
    <col min="11" max="11" width="23.85546875" bestFit="1" customWidth="1"/>
    <col min="13" max="13" width="21.85546875" bestFit="1" customWidth="1"/>
    <col min="14" max="14" width="16.7109375" bestFit="1" customWidth="1"/>
    <col min="15" max="15" width="20.5703125" bestFit="1" customWidth="1"/>
    <col min="16" max="16" width="25.5703125" bestFit="1" customWidth="1"/>
    <col min="17" max="17" width="28.7109375" bestFit="1" customWidth="1"/>
    <col min="18" max="18" width="22.42578125" bestFit="1" customWidth="1"/>
    <col min="19" max="19" width="25.7109375" bestFit="1" customWidth="1"/>
  </cols>
  <sheetData>
    <row r="1" spans="1:19" x14ac:dyDescent="0.25">
      <c r="A1" s="1" t="s">
        <v>20</v>
      </c>
      <c r="B1" s="1" t="s">
        <v>18</v>
      </c>
      <c r="C1" s="1" t="s">
        <v>19</v>
      </c>
      <c r="D1" s="1" t="s">
        <v>18</v>
      </c>
      <c r="E1" s="1" t="s">
        <v>25</v>
      </c>
      <c r="F1" s="1" t="s">
        <v>18</v>
      </c>
      <c r="G1" s="1" t="s">
        <v>31</v>
      </c>
      <c r="H1" s="1" t="s">
        <v>18</v>
      </c>
      <c r="I1" s="1" t="s">
        <v>43</v>
      </c>
      <c r="J1" s="1" t="s">
        <v>18</v>
      </c>
      <c r="K1" s="1" t="s">
        <v>52</v>
      </c>
      <c r="L1" s="1" t="s">
        <v>18</v>
      </c>
      <c r="M1" s="1" t="s">
        <v>74</v>
      </c>
      <c r="N1" s="1" t="s">
        <v>66</v>
      </c>
      <c r="O1" s="1" t="s">
        <v>56</v>
      </c>
      <c r="P1" s="1" t="s">
        <v>61</v>
      </c>
      <c r="Q1" s="1" t="s">
        <v>62</v>
      </c>
      <c r="R1" s="1" t="s">
        <v>63</v>
      </c>
      <c r="S1" s="1" t="s">
        <v>64</v>
      </c>
    </row>
    <row r="2" spans="1:19" x14ac:dyDescent="0.25">
      <c r="A2" t="s">
        <v>0</v>
      </c>
      <c r="B2">
        <f>5+5</f>
        <v>10</v>
      </c>
      <c r="C2" t="s">
        <v>21</v>
      </c>
      <c r="D2">
        <f>0</f>
        <v>0</v>
      </c>
      <c r="E2" t="s">
        <v>26</v>
      </c>
      <c r="F2">
        <f>6</f>
        <v>6</v>
      </c>
      <c r="G2" t="s">
        <v>32</v>
      </c>
      <c r="H2">
        <f>0</f>
        <v>0</v>
      </c>
      <c r="I2" t="s">
        <v>44</v>
      </c>
      <c r="J2">
        <f>0</f>
        <v>0</v>
      </c>
      <c r="K2" t="s">
        <v>53</v>
      </c>
      <c r="L2">
        <f>10+3+10</f>
        <v>23</v>
      </c>
      <c r="P2">
        <f>2+2+1</f>
        <v>5</v>
      </c>
      <c r="Q2">
        <f>10+5+10</f>
        <v>25</v>
      </c>
      <c r="S2">
        <v>4</v>
      </c>
    </row>
    <row r="3" spans="1:19" x14ac:dyDescent="0.25">
      <c r="A3" t="s">
        <v>1</v>
      </c>
      <c r="B3">
        <f>10+15+4</f>
        <v>29</v>
      </c>
      <c r="C3" t="s">
        <v>22</v>
      </c>
      <c r="D3">
        <f>0</f>
        <v>0</v>
      </c>
      <c r="E3" t="s">
        <v>27</v>
      </c>
      <c r="F3">
        <f>0</f>
        <v>0</v>
      </c>
      <c r="G3" t="s">
        <v>33</v>
      </c>
      <c r="H3">
        <f>1</f>
        <v>1</v>
      </c>
      <c r="I3" t="s">
        <v>45</v>
      </c>
      <c r="J3">
        <f>3+1+5</f>
        <v>9</v>
      </c>
      <c r="K3" t="s">
        <v>54</v>
      </c>
      <c r="L3">
        <f>5+3+22</f>
        <v>30</v>
      </c>
    </row>
    <row r="4" spans="1:19" x14ac:dyDescent="0.25">
      <c r="A4" t="s">
        <v>2</v>
      </c>
      <c r="B4">
        <f>2+4</f>
        <v>6</v>
      </c>
      <c r="C4" t="s">
        <v>23</v>
      </c>
      <c r="D4">
        <f>0</f>
        <v>0</v>
      </c>
      <c r="E4" t="s">
        <v>28</v>
      </c>
      <c r="F4">
        <f>0</f>
        <v>0</v>
      </c>
      <c r="G4" t="s">
        <v>34</v>
      </c>
      <c r="H4">
        <f>0</f>
        <v>0</v>
      </c>
      <c r="I4" t="s">
        <v>46</v>
      </c>
      <c r="J4">
        <v>0</v>
      </c>
      <c r="K4" t="s">
        <v>55</v>
      </c>
      <c r="L4">
        <f>10+5</f>
        <v>15</v>
      </c>
    </row>
    <row r="5" spans="1:19" x14ac:dyDescent="0.25">
      <c r="A5" t="s">
        <v>3</v>
      </c>
      <c r="B5">
        <f>1+4</f>
        <v>5</v>
      </c>
      <c r="C5" t="s">
        <v>24</v>
      </c>
      <c r="D5">
        <f>0</f>
        <v>0</v>
      </c>
      <c r="E5" t="s">
        <v>29</v>
      </c>
      <c r="F5">
        <f>5+2</f>
        <v>7</v>
      </c>
      <c r="G5" t="s">
        <v>38</v>
      </c>
      <c r="H5">
        <f>2+6+5</f>
        <v>13</v>
      </c>
      <c r="I5" t="s">
        <v>47</v>
      </c>
      <c r="J5">
        <v>0</v>
      </c>
    </row>
    <row r="6" spans="1:19" x14ac:dyDescent="0.25">
      <c r="A6" t="s">
        <v>4</v>
      </c>
      <c r="B6">
        <f>10+20+22</f>
        <v>52</v>
      </c>
      <c r="E6" t="s">
        <v>30</v>
      </c>
      <c r="F6">
        <f>2+2</f>
        <v>4</v>
      </c>
      <c r="G6" t="s">
        <v>35</v>
      </c>
      <c r="H6">
        <f>0</f>
        <v>0</v>
      </c>
    </row>
    <row r="7" spans="1:19" x14ac:dyDescent="0.25">
      <c r="A7" t="s">
        <v>5</v>
      </c>
      <c r="B7">
        <f>20+15+10</f>
        <v>45</v>
      </c>
      <c r="G7" t="s">
        <v>36</v>
      </c>
      <c r="H7">
        <v>0</v>
      </c>
    </row>
    <row r="8" spans="1:19" x14ac:dyDescent="0.25">
      <c r="A8" t="s">
        <v>6</v>
      </c>
      <c r="B8">
        <f>5+5+21</f>
        <v>31</v>
      </c>
      <c r="G8" t="s">
        <v>37</v>
      </c>
      <c r="H8">
        <f>0</f>
        <v>0</v>
      </c>
    </row>
    <row r="9" spans="1:19" x14ac:dyDescent="0.25">
      <c r="A9" t="s">
        <v>7</v>
      </c>
      <c r="B9">
        <f>10+5+10</f>
        <v>25</v>
      </c>
      <c r="G9" t="s">
        <v>39</v>
      </c>
    </row>
    <row r="10" spans="1:19" x14ac:dyDescent="0.25">
      <c r="A10" t="s">
        <v>8</v>
      </c>
      <c r="B10">
        <f>10+10+10</f>
        <v>30</v>
      </c>
      <c r="G10" t="s">
        <v>40</v>
      </c>
    </row>
    <row r="11" spans="1:19" x14ac:dyDescent="0.25">
      <c r="A11" t="s">
        <v>9</v>
      </c>
      <c r="B11">
        <f>2+10+20</f>
        <v>32</v>
      </c>
      <c r="G11" t="s">
        <v>41</v>
      </c>
    </row>
    <row r="12" spans="1:19" x14ac:dyDescent="0.25">
      <c r="A12" t="s">
        <v>10</v>
      </c>
      <c r="B12">
        <f>20+15+27</f>
        <v>62</v>
      </c>
      <c r="G12" t="s">
        <v>42</v>
      </c>
    </row>
    <row r="13" spans="1:19" x14ac:dyDescent="0.25">
      <c r="A13" t="s">
        <v>11</v>
      </c>
      <c r="B13">
        <f>3+3+6</f>
        <v>12</v>
      </c>
      <c r="G13" t="s">
        <v>48</v>
      </c>
    </row>
    <row r="14" spans="1:19" x14ac:dyDescent="0.25">
      <c r="A14" t="s">
        <v>12</v>
      </c>
      <c r="B14">
        <f>5+15</f>
        <v>20</v>
      </c>
      <c r="G14" t="s">
        <v>49</v>
      </c>
    </row>
    <row r="15" spans="1:19" x14ac:dyDescent="0.25">
      <c r="A15" t="s">
        <v>13</v>
      </c>
      <c r="B15">
        <f>15</f>
        <v>15</v>
      </c>
      <c r="G15" t="s">
        <v>50</v>
      </c>
    </row>
    <row r="16" spans="1:19" x14ac:dyDescent="0.25">
      <c r="A16" t="s">
        <v>14</v>
      </c>
      <c r="B16">
        <f>0</f>
        <v>0</v>
      </c>
      <c r="G16" t="s">
        <v>51</v>
      </c>
    </row>
    <row r="17" spans="1:2" x14ac:dyDescent="0.25">
      <c r="A17" t="s">
        <v>15</v>
      </c>
      <c r="B17">
        <f>10</f>
        <v>10</v>
      </c>
    </row>
    <row r="18" spans="1:2" x14ac:dyDescent="0.25">
      <c r="A18" t="s">
        <v>16</v>
      </c>
      <c r="B18">
        <f>0</f>
        <v>0</v>
      </c>
    </row>
    <row r="19" spans="1:2" x14ac:dyDescent="0.25">
      <c r="A19" t="s">
        <v>17</v>
      </c>
      <c r="B19">
        <f>3</f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F1" workbookViewId="0">
      <selection activeCell="K2" sqref="K2:K4"/>
    </sheetView>
  </sheetViews>
  <sheetFormatPr defaultRowHeight="15" x14ac:dyDescent="0.25"/>
  <cols>
    <col min="1" max="1" width="26.42578125" bestFit="1" customWidth="1"/>
    <col min="3" max="3" width="27.5703125" bestFit="1" customWidth="1"/>
    <col min="5" max="5" width="35.140625" bestFit="1" customWidth="1"/>
    <col min="7" max="7" width="21.42578125" bestFit="1" customWidth="1"/>
    <col min="9" max="9" width="28.5703125" bestFit="1" customWidth="1"/>
    <col min="11" max="11" width="23.85546875" bestFit="1" customWidth="1"/>
    <col min="13" max="13" width="21.85546875" bestFit="1" customWidth="1"/>
    <col min="15" max="15" width="20.5703125" bestFit="1" customWidth="1"/>
    <col min="16" max="16" width="25.5703125" bestFit="1" customWidth="1"/>
    <col min="17" max="17" width="28.5703125" bestFit="1" customWidth="1"/>
    <col min="18" max="18" width="22.42578125" bestFit="1" customWidth="1"/>
    <col min="19" max="19" width="25.7109375" bestFit="1" customWidth="1"/>
  </cols>
  <sheetData>
    <row r="1" spans="1:19" x14ac:dyDescent="0.25">
      <c r="A1" t="s">
        <v>20</v>
      </c>
      <c r="B1" t="s">
        <v>18</v>
      </c>
      <c r="C1" t="s">
        <v>19</v>
      </c>
      <c r="D1" t="s">
        <v>18</v>
      </c>
      <c r="E1" t="s">
        <v>25</v>
      </c>
      <c r="F1" t="s">
        <v>18</v>
      </c>
      <c r="G1" t="s">
        <v>31</v>
      </c>
      <c r="H1" t="s">
        <v>18</v>
      </c>
      <c r="I1" t="s">
        <v>43</v>
      </c>
      <c r="J1" t="s">
        <v>18</v>
      </c>
      <c r="K1" t="s">
        <v>52</v>
      </c>
      <c r="L1" t="s">
        <v>18</v>
      </c>
      <c r="M1" t="s">
        <v>74</v>
      </c>
      <c r="N1" t="s">
        <v>66</v>
      </c>
      <c r="O1" t="s">
        <v>56</v>
      </c>
      <c r="P1" t="s">
        <v>61</v>
      </c>
      <c r="Q1" t="s">
        <v>62</v>
      </c>
      <c r="R1" t="s">
        <v>63</v>
      </c>
      <c r="S1" t="s">
        <v>64</v>
      </c>
    </row>
    <row r="2" spans="1:19" x14ac:dyDescent="0.25">
      <c r="A2" t="s">
        <v>0</v>
      </c>
      <c r="B2">
        <f>195</f>
        <v>195</v>
      </c>
      <c r="C2" t="s">
        <v>21</v>
      </c>
      <c r="D2">
        <f>0</f>
        <v>0</v>
      </c>
      <c r="E2" t="s">
        <v>26</v>
      </c>
      <c r="F2">
        <f>2</f>
        <v>2</v>
      </c>
      <c r="G2" t="s">
        <v>32</v>
      </c>
      <c r="H2">
        <f>0</f>
        <v>0</v>
      </c>
      <c r="I2" t="s">
        <v>44</v>
      </c>
      <c r="J2">
        <f>23</f>
        <v>23</v>
      </c>
      <c r="K2" t="s">
        <v>53</v>
      </c>
      <c r="L2">
        <f>49</f>
        <v>49</v>
      </c>
      <c r="P2">
        <v>31</v>
      </c>
      <c r="Q2">
        <v>175</v>
      </c>
      <c r="R2">
        <v>5</v>
      </c>
      <c r="S2">
        <v>300</v>
      </c>
    </row>
    <row r="3" spans="1:19" x14ac:dyDescent="0.25">
      <c r="A3" t="s">
        <v>1</v>
      </c>
      <c r="B3">
        <f>218</f>
        <v>218</v>
      </c>
      <c r="C3" t="s">
        <v>22</v>
      </c>
      <c r="D3">
        <f>0</f>
        <v>0</v>
      </c>
      <c r="E3" t="s">
        <v>27</v>
      </c>
      <c r="F3">
        <f>29</f>
        <v>29</v>
      </c>
      <c r="G3" t="s">
        <v>33</v>
      </c>
      <c r="H3">
        <f>0</f>
        <v>0</v>
      </c>
      <c r="I3" t="s">
        <v>45</v>
      </c>
      <c r="J3">
        <f>3</f>
        <v>3</v>
      </c>
      <c r="K3" t="s">
        <v>54</v>
      </c>
      <c r="L3">
        <f>41</f>
        <v>41</v>
      </c>
    </row>
    <row r="4" spans="1:19" x14ac:dyDescent="0.25">
      <c r="A4" t="s">
        <v>2</v>
      </c>
      <c r="B4">
        <f>28</f>
        <v>28</v>
      </c>
      <c r="C4" t="s">
        <v>23</v>
      </c>
      <c r="D4">
        <f>0</f>
        <v>0</v>
      </c>
      <c r="E4" t="s">
        <v>28</v>
      </c>
      <c r="F4">
        <f>19</f>
        <v>19</v>
      </c>
      <c r="G4" t="s">
        <v>34</v>
      </c>
      <c r="H4">
        <f>23</f>
        <v>23</v>
      </c>
      <c r="I4" t="s">
        <v>46</v>
      </c>
      <c r="J4">
        <f>1</f>
        <v>1</v>
      </c>
      <c r="K4" t="s">
        <v>55</v>
      </c>
      <c r="L4">
        <f>353</f>
        <v>353</v>
      </c>
    </row>
    <row r="5" spans="1:19" x14ac:dyDescent="0.25">
      <c r="A5" t="s">
        <v>3</v>
      </c>
      <c r="B5">
        <f>19</f>
        <v>19</v>
      </c>
      <c r="C5" t="s">
        <v>24</v>
      </c>
      <c r="D5">
        <f>0</f>
        <v>0</v>
      </c>
      <c r="E5" t="s">
        <v>29</v>
      </c>
      <c r="F5">
        <f>1</f>
        <v>1</v>
      </c>
      <c r="G5" t="s">
        <v>38</v>
      </c>
      <c r="H5">
        <f>15</f>
        <v>15</v>
      </c>
      <c r="I5" t="s">
        <v>47</v>
      </c>
      <c r="J5">
        <f>1</f>
        <v>1</v>
      </c>
    </row>
    <row r="6" spans="1:19" x14ac:dyDescent="0.25">
      <c r="A6" t="s">
        <v>4</v>
      </c>
      <c r="B6">
        <f>159</f>
        <v>159</v>
      </c>
      <c r="E6" t="s">
        <v>30</v>
      </c>
      <c r="F6">
        <f>4</f>
        <v>4</v>
      </c>
      <c r="G6" t="s">
        <v>35</v>
      </c>
      <c r="H6">
        <f>22</f>
        <v>22</v>
      </c>
    </row>
    <row r="7" spans="1:19" x14ac:dyDescent="0.25">
      <c r="A7" t="s">
        <v>5</v>
      </c>
      <c r="B7">
        <f>82</f>
        <v>82</v>
      </c>
      <c r="G7" t="s">
        <v>36</v>
      </c>
      <c r="H7">
        <f>5</f>
        <v>5</v>
      </c>
    </row>
    <row r="8" spans="1:19" x14ac:dyDescent="0.25">
      <c r="A8" t="s">
        <v>6</v>
      </c>
      <c r="B8">
        <f>23</f>
        <v>23</v>
      </c>
      <c r="G8" t="s">
        <v>37</v>
      </c>
      <c r="H8">
        <f>2</f>
        <v>2</v>
      </c>
    </row>
    <row r="9" spans="1:19" x14ac:dyDescent="0.25">
      <c r="A9" t="s">
        <v>7</v>
      </c>
      <c r="B9">
        <f>108</f>
        <v>108</v>
      </c>
      <c r="G9" t="s">
        <v>39</v>
      </c>
    </row>
    <row r="10" spans="1:19" x14ac:dyDescent="0.25">
      <c r="A10" t="s">
        <v>8</v>
      </c>
      <c r="B10">
        <f>74</f>
        <v>74</v>
      </c>
      <c r="G10" t="s">
        <v>40</v>
      </c>
    </row>
    <row r="11" spans="1:19" x14ac:dyDescent="0.25">
      <c r="A11" t="s">
        <v>9</v>
      </c>
      <c r="B11">
        <f>324</f>
        <v>324</v>
      </c>
      <c r="G11" t="s">
        <v>41</v>
      </c>
    </row>
    <row r="12" spans="1:19" x14ac:dyDescent="0.25">
      <c r="A12" t="s">
        <v>10</v>
      </c>
      <c r="B12">
        <f>132</f>
        <v>132</v>
      </c>
      <c r="G12" t="s">
        <v>42</v>
      </c>
    </row>
    <row r="13" spans="1:19" x14ac:dyDescent="0.25">
      <c r="A13" t="s">
        <v>11</v>
      </c>
      <c r="B13">
        <f>121</f>
        <v>121</v>
      </c>
      <c r="G13" t="s">
        <v>48</v>
      </c>
    </row>
    <row r="14" spans="1:19" x14ac:dyDescent="0.25">
      <c r="A14" t="s">
        <v>12</v>
      </c>
      <c r="B14">
        <f>50</f>
        <v>50</v>
      </c>
      <c r="G14" t="s">
        <v>49</v>
      </c>
    </row>
    <row r="15" spans="1:19" x14ac:dyDescent="0.25">
      <c r="A15" t="s">
        <v>13</v>
      </c>
      <c r="B15">
        <f>103</f>
        <v>103</v>
      </c>
      <c r="G15" t="s">
        <v>50</v>
      </c>
    </row>
    <row r="16" spans="1:19" x14ac:dyDescent="0.25">
      <c r="A16" t="s">
        <v>14</v>
      </c>
      <c r="B16">
        <f>107</f>
        <v>107</v>
      </c>
      <c r="G16" t="s">
        <v>51</v>
      </c>
    </row>
    <row r="17" spans="1:2" x14ac:dyDescent="0.25">
      <c r="A17" t="s">
        <v>15</v>
      </c>
      <c r="B17">
        <f>80</f>
        <v>80</v>
      </c>
    </row>
    <row r="18" spans="1:2" x14ac:dyDescent="0.25">
      <c r="A18" t="s">
        <v>16</v>
      </c>
      <c r="B18">
        <f>161</f>
        <v>161</v>
      </c>
    </row>
    <row r="19" spans="1:2" x14ac:dyDescent="0.25">
      <c r="A19" t="s">
        <v>17</v>
      </c>
      <c r="B19">
        <f>33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Brewer's Bay</vt:lpstr>
      <vt:lpstr>Hassel Island </vt:lpstr>
      <vt:lpstr>Perseverance Bay</vt:lpstr>
      <vt:lpstr>Coki Bay Water Bay</vt:lpstr>
      <vt:lpstr>Red Hook Salt Pond</vt:lpstr>
      <vt:lpstr>Mandahl and Tutu Bay</vt:lpstr>
      <vt:lpstr>Vessup Bay</vt:lpstr>
      <vt:lpstr>Lindberg</vt:lpstr>
      <vt:lpstr>Eudora Kean Sapphire Beach</vt:lpstr>
      <vt:lpstr>Hassel Island Careening Cove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2014-09-20T20:44:13Z</dcterms:created>
  <dcterms:modified xsi:type="dcterms:W3CDTF">2014-11-06T01:52:51Z</dcterms:modified>
</cp:coreProperties>
</file>