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astweeks\"/>
    </mc:Choice>
  </mc:AlternateContent>
  <bookViews>
    <workbookView xWindow="0" yWindow="600" windowWidth="20490" windowHeight="7755" firstSheet="3" activeTab="6"/>
  </bookViews>
  <sheets>
    <sheet name="Brewers Bay " sheetId="1" r:id="rId1"/>
    <sheet name="Red Hook Salt Pond " sheetId="2" r:id="rId2"/>
    <sheet name="Hassel Island" sheetId="3" r:id="rId3"/>
    <sheet name="Lindbergh" sheetId="4" r:id="rId4"/>
    <sheet name="Vessup" sheetId="5" r:id="rId5"/>
    <sheet name="Red Hook" sheetId="6" r:id="rId6"/>
    <sheet name="Reef Bay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7" l="1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L6" i="7"/>
  <c r="I6" i="7"/>
  <c r="C6" i="7"/>
  <c r="L5" i="7"/>
  <c r="I5" i="7"/>
  <c r="F5" i="7"/>
  <c r="C5" i="7"/>
  <c r="R4" i="7"/>
  <c r="L4" i="7"/>
  <c r="I4" i="7"/>
  <c r="F4" i="7"/>
  <c r="C4" i="7"/>
  <c r="R3" i="7"/>
  <c r="O3" i="7"/>
  <c r="L3" i="7"/>
  <c r="I3" i="7"/>
  <c r="C3" i="7"/>
  <c r="R2" i="7"/>
  <c r="O2" i="7"/>
  <c r="I2" i="7"/>
  <c r="F2" i="7"/>
  <c r="C2" i="7"/>
  <c r="T2" i="6"/>
  <c r="R21" i="6"/>
  <c r="O21" i="6"/>
  <c r="L21" i="6"/>
  <c r="I21" i="6"/>
  <c r="F21" i="6"/>
  <c r="C21" i="6"/>
  <c r="R4" i="6"/>
  <c r="R3" i="6"/>
  <c r="R2" i="6"/>
  <c r="O3" i="6"/>
  <c r="O2" i="6"/>
  <c r="L6" i="6"/>
  <c r="L5" i="6"/>
  <c r="L4" i="6"/>
  <c r="L3" i="6"/>
  <c r="I6" i="6"/>
  <c r="I5" i="6"/>
  <c r="I4" i="6"/>
  <c r="I3" i="6"/>
  <c r="I2" i="6"/>
  <c r="F5" i="6"/>
  <c r="F4" i="6"/>
  <c r="F2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I21" i="7" l="1"/>
  <c r="R21" i="7"/>
  <c r="O21" i="7"/>
  <c r="L21" i="7"/>
  <c r="F21" i="7"/>
  <c r="C21" i="7"/>
  <c r="Q3" i="5"/>
  <c r="R3" i="5" s="1"/>
  <c r="Q2" i="5"/>
  <c r="N4" i="5"/>
  <c r="N3" i="5"/>
  <c r="O3" i="5" s="1"/>
  <c r="N2" i="5"/>
  <c r="K3" i="5"/>
  <c r="K2" i="5"/>
  <c r="B18" i="5"/>
  <c r="C18" i="5" s="1"/>
  <c r="B16" i="5"/>
  <c r="B15" i="5"/>
  <c r="B14" i="5"/>
  <c r="B13" i="5"/>
  <c r="B12" i="5"/>
  <c r="C12" i="5" s="1"/>
  <c r="B11" i="5"/>
  <c r="C11" i="5" s="1"/>
  <c r="B10" i="5"/>
  <c r="B9" i="5"/>
  <c r="C9" i="5" s="1"/>
  <c r="B8" i="5"/>
  <c r="C8" i="5" s="1"/>
  <c r="B7" i="5"/>
  <c r="C7" i="5" s="1"/>
  <c r="B6" i="5"/>
  <c r="C6" i="5" s="1"/>
  <c r="B5" i="5"/>
  <c r="B4" i="5"/>
  <c r="B3" i="5"/>
  <c r="B2" i="5"/>
  <c r="C2" i="5" s="1"/>
  <c r="U2" i="5"/>
  <c r="Q4" i="5"/>
  <c r="N5" i="5"/>
  <c r="K5" i="5"/>
  <c r="L5" i="5" s="1"/>
  <c r="K4" i="5"/>
  <c r="L2" i="5"/>
  <c r="H6" i="5"/>
  <c r="H5" i="5"/>
  <c r="I5" i="5" s="1"/>
  <c r="H4" i="5"/>
  <c r="H3" i="5"/>
  <c r="H2" i="5"/>
  <c r="I2" i="5" s="1"/>
  <c r="E5" i="5"/>
  <c r="F5" i="5" s="1"/>
  <c r="E4" i="5"/>
  <c r="E3" i="5"/>
  <c r="B19" i="5"/>
  <c r="C19" i="5" s="1"/>
  <c r="B17" i="5"/>
  <c r="C10" i="5"/>
  <c r="C17" i="5"/>
  <c r="C16" i="5"/>
  <c r="C15" i="5"/>
  <c r="C14" i="5"/>
  <c r="C13" i="5"/>
  <c r="K6" i="5"/>
  <c r="L6" i="5" s="1"/>
  <c r="I6" i="5"/>
  <c r="O5" i="5"/>
  <c r="C5" i="5"/>
  <c r="R4" i="5"/>
  <c r="L4" i="5"/>
  <c r="I4" i="5"/>
  <c r="F4" i="5"/>
  <c r="C4" i="5"/>
  <c r="L3" i="5"/>
  <c r="I3" i="5"/>
  <c r="F3" i="5"/>
  <c r="C3" i="5"/>
  <c r="R2" i="5"/>
  <c r="O2" i="5"/>
  <c r="S2" i="3"/>
  <c r="R20" i="3"/>
  <c r="O20" i="3"/>
  <c r="L20" i="3"/>
  <c r="I20" i="3"/>
  <c r="F20" i="3"/>
  <c r="C20" i="3"/>
  <c r="R4" i="3"/>
  <c r="R3" i="3"/>
  <c r="R2" i="3"/>
  <c r="O5" i="3"/>
  <c r="O4" i="3"/>
  <c r="O3" i="3"/>
  <c r="O2" i="3"/>
  <c r="L6" i="3"/>
  <c r="L6" i="4"/>
  <c r="L5" i="3"/>
  <c r="L3" i="3"/>
  <c r="L2" i="3"/>
  <c r="L4" i="3"/>
  <c r="I6" i="3"/>
  <c r="I5" i="3"/>
  <c r="I4" i="3"/>
  <c r="I3" i="3"/>
  <c r="I2" i="3"/>
  <c r="F5" i="3"/>
  <c r="F4" i="3"/>
  <c r="F3" i="3"/>
  <c r="F2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T2" i="2"/>
  <c r="R20" i="2"/>
  <c r="O20" i="2"/>
  <c r="L20" i="2"/>
  <c r="I20" i="2"/>
  <c r="F20" i="2"/>
  <c r="C20" i="2"/>
  <c r="L6" i="2"/>
  <c r="R4" i="2"/>
  <c r="R3" i="2"/>
  <c r="R2" i="2"/>
  <c r="L6" i="1"/>
  <c r="O5" i="2"/>
  <c r="O4" i="2"/>
  <c r="O3" i="2"/>
  <c r="O2" i="2"/>
  <c r="L5" i="2"/>
  <c r="L4" i="2"/>
  <c r="L3" i="2"/>
  <c r="L2" i="2"/>
  <c r="I6" i="2"/>
  <c r="I5" i="2"/>
  <c r="I4" i="2"/>
  <c r="I3" i="2"/>
  <c r="I2" i="2"/>
  <c r="F5" i="2"/>
  <c r="F4" i="2"/>
  <c r="F3" i="2"/>
  <c r="F2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R20" i="1"/>
  <c r="O20" i="1"/>
  <c r="L20" i="1"/>
  <c r="T2" i="1" s="1"/>
  <c r="I20" i="1"/>
  <c r="F20" i="1"/>
  <c r="C20" i="1"/>
  <c r="R4" i="1"/>
  <c r="R3" i="1"/>
  <c r="R2" i="1"/>
  <c r="O5" i="1"/>
  <c r="O4" i="1"/>
  <c r="O3" i="1"/>
  <c r="O2" i="1"/>
  <c r="L5" i="1"/>
  <c r="L4" i="1"/>
  <c r="L3" i="1"/>
  <c r="L2" i="1"/>
  <c r="I6" i="1"/>
  <c r="I5" i="1"/>
  <c r="I4" i="1"/>
  <c r="I3" i="1"/>
  <c r="I2" i="1"/>
  <c r="F5" i="1"/>
  <c r="F4" i="1"/>
  <c r="F3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Q4" i="1"/>
  <c r="Q3" i="1"/>
  <c r="Q2" i="1"/>
  <c r="K5" i="1"/>
  <c r="K3" i="1"/>
  <c r="H3" i="1"/>
  <c r="H2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K6" i="1"/>
  <c r="K4" i="1"/>
  <c r="H6" i="1"/>
  <c r="V2" i="1"/>
  <c r="N2" i="1"/>
  <c r="H5" i="1"/>
  <c r="H4" i="1"/>
  <c r="T2" i="7" l="1"/>
  <c r="O20" i="5"/>
  <c r="L20" i="5"/>
  <c r="I20" i="5"/>
  <c r="F20" i="5"/>
  <c r="R20" i="5"/>
  <c r="C20" i="5"/>
  <c r="U2" i="4"/>
  <c r="S2" i="4"/>
  <c r="R20" i="4"/>
  <c r="O20" i="4"/>
  <c r="L20" i="4"/>
  <c r="I20" i="4"/>
  <c r="F20" i="4"/>
  <c r="C20" i="4"/>
  <c r="R4" i="4"/>
  <c r="R3" i="4"/>
  <c r="R2" i="4"/>
  <c r="O5" i="4"/>
  <c r="O3" i="4"/>
  <c r="O2" i="4"/>
  <c r="L5" i="4"/>
  <c r="L4" i="4"/>
  <c r="L3" i="4"/>
  <c r="L2" i="4"/>
  <c r="I6" i="4"/>
  <c r="I5" i="4"/>
  <c r="I4" i="4"/>
  <c r="I3" i="4"/>
  <c r="I2" i="4"/>
  <c r="F5" i="4"/>
  <c r="F4" i="4"/>
  <c r="F3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4" i="4"/>
  <c r="K2" i="4"/>
  <c r="B18" i="4"/>
  <c r="B17" i="4"/>
  <c r="B16" i="4"/>
  <c r="B13" i="4"/>
  <c r="B12" i="4"/>
  <c r="B11" i="4"/>
  <c r="B10" i="4"/>
  <c r="B7" i="4"/>
  <c r="B3" i="4"/>
  <c r="B2" i="4"/>
  <c r="Q3" i="4"/>
  <c r="N3" i="4"/>
  <c r="N2" i="4"/>
  <c r="H6" i="4"/>
  <c r="E5" i="4"/>
  <c r="E4" i="4"/>
  <c r="E3" i="4"/>
  <c r="B19" i="4"/>
  <c r="B15" i="4"/>
  <c r="B14" i="4"/>
  <c r="B9" i="4"/>
  <c r="B6" i="4"/>
  <c r="B5" i="4"/>
  <c r="K6" i="4"/>
  <c r="K5" i="4"/>
  <c r="K4" i="4"/>
  <c r="K3" i="4"/>
  <c r="H3" i="4"/>
  <c r="B8" i="4"/>
  <c r="Q2" i="4"/>
  <c r="B4" i="4"/>
  <c r="H5" i="4"/>
  <c r="H2" i="4"/>
  <c r="H4" i="4"/>
  <c r="N5" i="4"/>
  <c r="S2" i="5" l="1"/>
  <c r="Q4" i="2"/>
  <c r="Q3" i="2"/>
  <c r="K6" i="2"/>
  <c r="K5" i="2"/>
  <c r="H4" i="2"/>
  <c r="H3" i="2"/>
  <c r="B19" i="2"/>
  <c r="B18" i="2"/>
  <c r="B17" i="2"/>
  <c r="B14" i="2"/>
  <c r="B13" i="2"/>
  <c r="B12" i="2"/>
  <c r="B11" i="2"/>
  <c r="B8" i="2"/>
  <c r="B6" i="2"/>
  <c r="B5" i="2"/>
  <c r="B4" i="2"/>
  <c r="B3" i="2"/>
  <c r="B2" i="2"/>
  <c r="Q4" i="3" l="1"/>
  <c r="Q2" i="3"/>
  <c r="N5" i="3"/>
  <c r="N4" i="3"/>
  <c r="K6" i="3"/>
  <c r="K5" i="3"/>
  <c r="E4" i="3"/>
  <c r="B19" i="3"/>
  <c r="B15" i="3"/>
  <c r="B14" i="3"/>
  <c r="B12" i="3"/>
  <c r="B11" i="3"/>
  <c r="B10" i="3"/>
  <c r="B9" i="3"/>
  <c r="B8" i="3"/>
  <c r="B7" i="3"/>
  <c r="B6" i="3"/>
  <c r="B5" i="3"/>
  <c r="B4" i="3"/>
  <c r="B3" i="3"/>
  <c r="H4" i="3"/>
  <c r="H3" i="3"/>
  <c r="B17" i="3"/>
  <c r="Q3" i="3"/>
  <c r="K3" i="3"/>
  <c r="H5" i="3"/>
  <c r="B18" i="3"/>
  <c r="B13" i="3"/>
  <c r="K2" i="3"/>
  <c r="E5" i="3"/>
  <c r="B16" i="3"/>
  <c r="H6" i="3"/>
  <c r="B2" i="3"/>
  <c r="N5" i="2" l="1"/>
  <c r="Q2" i="2"/>
  <c r="B10" i="2"/>
  <c r="B15" i="2"/>
  <c r="N2" i="2"/>
  <c r="B16" i="2"/>
  <c r="K8" i="2"/>
  <c r="K4" i="2"/>
  <c r="K2" i="2"/>
  <c r="H5" i="2"/>
  <c r="B9" i="2"/>
  <c r="B7" i="2"/>
  <c r="E4" i="1" l="1"/>
  <c r="N3" i="1"/>
  <c r="E3" i="1"/>
  <c r="E2" i="1" l="1"/>
  <c r="N5" i="1"/>
  <c r="N4" i="1"/>
  <c r="K8" i="1"/>
  <c r="K7" i="1"/>
  <c r="K2" i="1"/>
  <c r="E5" i="1"/>
</calcChain>
</file>

<file path=xl/sharedStrings.xml><?xml version="1.0" encoding="utf-8"?>
<sst xmlns="http://schemas.openxmlformats.org/spreadsheetml/2006/main" count="451" uniqueCount="56">
  <si>
    <t>Cigarette butts</t>
  </si>
  <si>
    <t>Food wrappers</t>
  </si>
  <si>
    <t>Take out containers (plastic)</t>
  </si>
  <si>
    <t>Take out containers (foam)</t>
  </si>
  <si>
    <t>Bottle caps (plastic)</t>
  </si>
  <si>
    <t>Bottle caps (metal)</t>
  </si>
  <si>
    <t>Lids (plastic)</t>
  </si>
  <si>
    <t xml:space="preserve">Straws / Stirrers </t>
  </si>
  <si>
    <t>Forks , Knives, Spoons</t>
  </si>
  <si>
    <t>Beverage bottles (plastic)</t>
  </si>
  <si>
    <t>Beverage bottles (glass)</t>
  </si>
  <si>
    <t xml:space="preserve">Beverage cans </t>
  </si>
  <si>
    <t>Grocery bags (plastic)</t>
  </si>
  <si>
    <t xml:space="preserve">Other plastic bags </t>
  </si>
  <si>
    <t>Paper bags</t>
  </si>
  <si>
    <t>Cups and plates (paper)</t>
  </si>
  <si>
    <t>Cups and plates (plastic)</t>
  </si>
  <si>
    <t>Cups and plates (foam)</t>
  </si>
  <si>
    <t xml:space="preserve">Most likely to find items </t>
  </si>
  <si>
    <t>Fishing gear</t>
  </si>
  <si>
    <t>Fishing buoys, pots and traps</t>
  </si>
  <si>
    <t xml:space="preserve">Fishing net and pieces </t>
  </si>
  <si>
    <t>Rope</t>
  </si>
  <si>
    <t>Fishing line</t>
  </si>
  <si>
    <t xml:space="preserve">Packaging materials </t>
  </si>
  <si>
    <t>6-pack holders</t>
  </si>
  <si>
    <t xml:space="preserve">Other plastic / Foam packaging </t>
  </si>
  <si>
    <t xml:space="preserve">Other plastic bottles </t>
  </si>
  <si>
    <t xml:space="preserve">Strapping bands </t>
  </si>
  <si>
    <t xml:space="preserve">Tobacco packaging wrap </t>
  </si>
  <si>
    <t>Other trash</t>
  </si>
  <si>
    <t>Appliances</t>
  </si>
  <si>
    <t>Balloons</t>
  </si>
  <si>
    <t>Cigar tips</t>
  </si>
  <si>
    <t xml:space="preserve">Cigarette lighters </t>
  </si>
  <si>
    <t xml:space="preserve">Construction materials </t>
  </si>
  <si>
    <t xml:space="preserve">Fireworks </t>
  </si>
  <si>
    <t>Tires</t>
  </si>
  <si>
    <t>Condoms</t>
  </si>
  <si>
    <t>Diapers</t>
  </si>
  <si>
    <t xml:space="preserve">Syringes </t>
  </si>
  <si>
    <t>Tampons</t>
  </si>
  <si>
    <r>
      <rPr>
        <b/>
        <sz val="11"/>
        <color theme="1"/>
        <rFont val="Calibri"/>
        <family val="2"/>
        <scheme val="minor"/>
      </rPr>
      <t>Personal hygiene</t>
    </r>
    <r>
      <rPr>
        <sz val="11"/>
        <color theme="1"/>
        <rFont val="Calibri"/>
        <family val="2"/>
        <scheme val="minor"/>
      </rPr>
      <t xml:space="preserve"> </t>
    </r>
  </si>
  <si>
    <t xml:space="preserve">Tiny trash </t>
  </si>
  <si>
    <t>Foam pieces</t>
  </si>
  <si>
    <t>Glass pieces</t>
  </si>
  <si>
    <t xml:space="preserve">Plastic pieces </t>
  </si>
  <si>
    <t xml:space="preserve">Estimated weight </t>
  </si>
  <si>
    <t xml:space="preserve">Number of volunteers </t>
  </si>
  <si>
    <r>
      <rPr>
        <b/>
        <sz val="11"/>
        <color theme="1"/>
        <rFont val="Calibri"/>
        <family val="2"/>
        <scheme val="minor"/>
      </rPr>
      <t>Weight</t>
    </r>
    <r>
      <rPr>
        <sz val="11"/>
        <color theme="1"/>
        <rFont val="Calibri"/>
        <family val="2"/>
        <scheme val="minor"/>
      </rPr>
      <t xml:space="preserve"> </t>
    </r>
  </si>
  <si>
    <t>Totals</t>
  </si>
  <si>
    <t>Weight</t>
  </si>
  <si>
    <t>Total</t>
  </si>
  <si>
    <t>Sum</t>
  </si>
  <si>
    <t xml:space="preserve">Weight </t>
  </si>
  <si>
    <t xml:space="preserve">Personal hygiene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</si>
</sst>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R4" sqref="R4"/>
    </sheetView>
  </sheetViews>
  <sheetFormatPr defaultRowHeight="15" x14ac:dyDescent="0.25"/>
  <cols>
    <col min="1" max="1" width="26.42578125" bestFit="1" customWidth="1"/>
    <col min="4" max="4" width="27" bestFit="1" customWidth="1"/>
    <col min="7" max="7" width="29" bestFit="1" customWidth="1"/>
    <col min="10" max="10" width="21.85546875" bestFit="1" customWidth="1"/>
    <col min="13" max="13" width="16.85546875" bestFit="1" customWidth="1"/>
    <col min="16" max="16" width="13.42578125" bestFit="1" customWidth="1"/>
    <col min="19" max="19" width="17" bestFit="1" customWidth="1"/>
    <col min="21" max="21" width="21.42578125" bestFit="1" customWidth="1"/>
  </cols>
  <sheetData>
    <row r="1" spans="1:22" x14ac:dyDescent="0.25">
      <c r="A1" s="1" t="s">
        <v>18</v>
      </c>
      <c r="C1" s="1" t="s">
        <v>54</v>
      </c>
      <c r="D1" s="1" t="s">
        <v>19</v>
      </c>
      <c r="F1" s="1" t="s">
        <v>51</v>
      </c>
      <c r="G1" s="1" t="s">
        <v>24</v>
      </c>
      <c r="I1" s="1" t="s">
        <v>51</v>
      </c>
      <c r="J1" s="1" t="s">
        <v>30</v>
      </c>
      <c r="L1" s="1" t="s">
        <v>51</v>
      </c>
      <c r="M1" t="s">
        <v>42</v>
      </c>
      <c r="O1" s="1" t="s">
        <v>51</v>
      </c>
      <c r="P1" s="1" t="s">
        <v>43</v>
      </c>
      <c r="R1" s="1" t="s">
        <v>51</v>
      </c>
      <c r="S1" s="1" t="s">
        <v>47</v>
      </c>
      <c r="U1" s="1" t="s">
        <v>48</v>
      </c>
    </row>
    <row r="2" spans="1:22" x14ac:dyDescent="0.25">
      <c r="A2" t="s">
        <v>0</v>
      </c>
      <c r="B2">
        <f>5+10+35+7+25+8+7+63+17+16+2+1+34+0+0+35+10+12+10+96+45+2+14+25+8+15</f>
        <v>502</v>
      </c>
      <c r="C2">
        <f>B2*0.01</f>
        <v>5.0200000000000005</v>
      </c>
      <c r="D2" t="s">
        <v>20</v>
      </c>
      <c r="E2">
        <f>0+0+0+0+0+0+0+0+0+0</f>
        <v>0</v>
      </c>
      <c r="F2">
        <v>0</v>
      </c>
      <c r="G2" t="s">
        <v>25</v>
      </c>
      <c r="H2">
        <f>0+0+0+0+0+0+0+0+0+0+2</f>
        <v>2</v>
      </c>
      <c r="I2">
        <f>H2*0.02</f>
        <v>0.04</v>
      </c>
      <c r="J2" t="s">
        <v>31</v>
      </c>
      <c r="K2">
        <f>0+0+0+0+0+0+0+0+0+0</f>
        <v>0</v>
      </c>
      <c r="L2">
        <f>K2*0.04</f>
        <v>0</v>
      </c>
      <c r="M2" t="s">
        <v>38</v>
      </c>
      <c r="N2">
        <f>1+2+1+0+0+1+0+0+0+3+5+2+5+1+17</f>
        <v>38</v>
      </c>
      <c r="O2">
        <f>N2*0.01</f>
        <v>0.38</v>
      </c>
      <c r="P2" t="s">
        <v>44</v>
      </c>
      <c r="Q2">
        <f>1+1+0+0+0+1+0+0+0+2+12+8+1+8+20</f>
        <v>54</v>
      </c>
      <c r="R2">
        <f>Q2*0.02</f>
        <v>1.08</v>
      </c>
      <c r="T2">
        <f>SUM(C20,F20,I20,L20,O20,R20)</f>
        <v>154.76000000000002</v>
      </c>
      <c r="V2">
        <f>78</f>
        <v>78</v>
      </c>
    </row>
    <row r="3" spans="1:22" x14ac:dyDescent="0.25">
      <c r="A3" t="s">
        <v>1</v>
      </c>
      <c r="B3">
        <f>18+5+1+2+8+30+4+65+5+6+12+9+1+10+0+0+10+18+7+1+11+14+7+75+4+3+30</f>
        <v>356</v>
      </c>
      <c r="C3">
        <f>B3*0.01</f>
        <v>3.56</v>
      </c>
      <c r="D3" t="s">
        <v>21</v>
      </c>
      <c r="E3">
        <f>1+0+12+0+0+1+0+1+0+0+0</f>
        <v>15</v>
      </c>
      <c r="F3">
        <f>E3*0.03</f>
        <v>0.44999999999999996</v>
      </c>
      <c r="G3" t="s">
        <v>26</v>
      </c>
      <c r="H3">
        <f>4+2+1+5+1+0+0+0+0+0+0+0+0+10+0+1+7+2+3</f>
        <v>36</v>
      </c>
      <c r="I3">
        <f>H3*0.01</f>
        <v>0.36</v>
      </c>
      <c r="J3" t="s">
        <v>32</v>
      </c>
      <c r="K3">
        <f>3+2+0+1+16+0+2+0+0+0+0+0+1+1+2+2+2+1+4</f>
        <v>37</v>
      </c>
      <c r="L3">
        <f>K3*0.01</f>
        <v>0.37</v>
      </c>
      <c r="M3" t="s">
        <v>39</v>
      </c>
      <c r="N3">
        <f>1+0+0+0+0+1+0+0+0+0+0+1</f>
        <v>3</v>
      </c>
      <c r="O3">
        <f>N3*0.03</f>
        <v>0.09</v>
      </c>
      <c r="P3" t="s">
        <v>45</v>
      </c>
      <c r="Q3">
        <f>6+56+3+18+6+266+17+47+12+9+2+37+1+5+12+8+6+1+40+1+7+10</f>
        <v>570</v>
      </c>
      <c r="R3">
        <f>Q3*0.03</f>
        <v>17.099999999999998</v>
      </c>
    </row>
    <row r="4" spans="1:22" x14ac:dyDescent="0.25">
      <c r="A4" t="s">
        <v>2</v>
      </c>
      <c r="B4">
        <f>1+1+0+2+0+0+1+2+0+0+1+2+3+6+6+11+8</f>
        <v>44</v>
      </c>
      <c r="C4">
        <f>B4*0.02</f>
        <v>0.88</v>
      </c>
      <c r="D4" t="s">
        <v>22</v>
      </c>
      <c r="E4">
        <f>1+0+1+1+0+0+1+0+0+2+0+3</f>
        <v>9</v>
      </c>
      <c r="F4">
        <f>E4*0.02</f>
        <v>0.18</v>
      </c>
      <c r="G4" t="s">
        <v>27</v>
      </c>
      <c r="H4">
        <f>4+0+0+0+0+0+0+0+0+0+0+5+2</f>
        <v>11</v>
      </c>
      <c r="I4">
        <f>H4*0.01</f>
        <v>0.11</v>
      </c>
      <c r="J4" t="s">
        <v>33</v>
      </c>
      <c r="K4">
        <f>1+7+2+0+0+0+1+0+3+0+0+0+1+1+1+2+3+8</f>
        <v>30</v>
      </c>
      <c r="L4">
        <f>K4*0.01</f>
        <v>0.3</v>
      </c>
      <c r="M4" t="s">
        <v>40</v>
      </c>
      <c r="N4">
        <f>0+0+0+0+1+0+0+0+0+0</f>
        <v>1</v>
      </c>
      <c r="O4">
        <f>N4*0.03</f>
        <v>0.03</v>
      </c>
      <c r="P4" t="s">
        <v>46</v>
      </c>
      <c r="Q4">
        <f>1+2+13+2+11+81+52+15+17+17+11+2+0+6+31+85+70+3+11+21+37+45+2+11+5</f>
        <v>551</v>
      </c>
      <c r="R4">
        <f>Q4*0.02</f>
        <v>11.02</v>
      </c>
    </row>
    <row r="5" spans="1:22" x14ac:dyDescent="0.25">
      <c r="A5" t="s">
        <v>3</v>
      </c>
      <c r="B5">
        <f>1+2+0+0+0+0+0+0+0+0+0+1+4+5+2+13+12</f>
        <v>40</v>
      </c>
      <c r="C5">
        <f>B5*0.02</f>
        <v>0.8</v>
      </c>
      <c r="D5" t="s">
        <v>23</v>
      </c>
      <c r="E5">
        <f>0+1+0+0+0+0+3+0+0+0</f>
        <v>4</v>
      </c>
      <c r="F5">
        <f>E5*0.01</f>
        <v>0.04</v>
      </c>
      <c r="G5" t="s">
        <v>28</v>
      </c>
      <c r="H5">
        <f>1+3+1+0+0+0+0+0+0+0+0+1</f>
        <v>6</v>
      </c>
      <c r="I5">
        <f>H5*0.01</f>
        <v>0.06</v>
      </c>
      <c r="J5" t="s">
        <v>34</v>
      </c>
      <c r="K5">
        <f>2+5+3+1+3+0+0+0+4+0+0+0+0+1+4+5+7+7+4+5</f>
        <v>51</v>
      </c>
      <c r="L5">
        <f>K5*0.02</f>
        <v>1.02</v>
      </c>
      <c r="M5" t="s">
        <v>41</v>
      </c>
      <c r="N5">
        <f>0+1+1+0+0+0+0+0+0</f>
        <v>2</v>
      </c>
      <c r="O5">
        <f>N5*0.03</f>
        <v>0.06</v>
      </c>
    </row>
    <row r="6" spans="1:22" x14ac:dyDescent="0.25">
      <c r="A6" t="s">
        <v>4</v>
      </c>
      <c r="B6">
        <f>5+11+20+6+33+4+12+22+18+20+30+17+0+3+7+6+7+4+16+17+14+8+50+7+7+35</f>
        <v>379</v>
      </c>
      <c r="C6">
        <f>B6*0.01</f>
        <v>3.79</v>
      </c>
      <c r="G6" t="s">
        <v>29</v>
      </c>
      <c r="H6">
        <f>1+1+4+0+0+0+18+0+0+0+0+0+5+8+5+2</f>
        <v>44</v>
      </c>
      <c r="I6">
        <f>H6*0.02</f>
        <v>0.88</v>
      </c>
      <c r="J6" t="s">
        <v>35</v>
      </c>
      <c r="K6">
        <f>1+1+0+0+1+0+0+0+0+0+0+0+4+1+1</f>
        <v>9</v>
      </c>
      <c r="L6">
        <f>K6*5</f>
        <v>45</v>
      </c>
    </row>
    <row r="7" spans="1:22" x14ac:dyDescent="0.25">
      <c r="A7" t="s">
        <v>5</v>
      </c>
      <c r="B7">
        <f>71+15+70+16+105+35+30+121+22+26+83+80+0+1+35+26+8+6+84+38+2+50+41+21+65+10+6+15</f>
        <v>1082</v>
      </c>
      <c r="C7">
        <f>B7*0.02</f>
        <v>21.64</v>
      </c>
      <c r="J7" t="s">
        <v>36</v>
      </c>
      <c r="K7">
        <f>0+0+0+0+0+0+0+0+0+0</f>
        <v>0</v>
      </c>
    </row>
    <row r="8" spans="1:22" x14ac:dyDescent="0.25">
      <c r="A8" t="s">
        <v>6</v>
      </c>
      <c r="B8">
        <f>1+15+0+1+0+0+1+1+0+0+0+0+0+11+2+1+3+6+35+3+5</f>
        <v>85</v>
      </c>
      <c r="C8">
        <f>B8*0.01</f>
        <v>0.85</v>
      </c>
      <c r="J8" t="s">
        <v>37</v>
      </c>
      <c r="K8">
        <f>0+0+0+0+0+0+0+0+0+0</f>
        <v>0</v>
      </c>
    </row>
    <row r="9" spans="1:22" x14ac:dyDescent="0.25">
      <c r="A9" t="s">
        <v>7</v>
      </c>
      <c r="B9">
        <f>20+7+28+1+35+10+26+14+13+0+13+45+1+2+0+15+2+4+8+6+5+9+1+30+50+3+4+20</f>
        <v>372</v>
      </c>
      <c r="C9">
        <f>B9*0.01</f>
        <v>3.72</v>
      </c>
    </row>
    <row r="10" spans="1:22" x14ac:dyDescent="0.25">
      <c r="A10" t="s">
        <v>8</v>
      </c>
      <c r="B10">
        <f>9+9+9+16+9+8+4+17+10+5+14+10+1+2+12+18+5+9+10+6+1+5+13+1+6+55+6+5+15</f>
        <v>290</v>
      </c>
      <c r="C10">
        <f>B10*0.01</f>
        <v>2.9</v>
      </c>
    </row>
    <row r="11" spans="1:22" x14ac:dyDescent="0.25">
      <c r="A11" t="s">
        <v>9</v>
      </c>
      <c r="B11">
        <f>3+1+9+1+0+1+2+6+5+1+6+0+0+2+0+2+2+5+3+3+6+37+23+55+8+9+15</f>
        <v>205</v>
      </c>
      <c r="C11">
        <f>B11*0.03</f>
        <v>6.1499999999999995</v>
      </c>
    </row>
    <row r="12" spans="1:22" x14ac:dyDescent="0.25">
      <c r="A12" t="s">
        <v>10</v>
      </c>
      <c r="B12">
        <f>23+5+12+12+2+5+2+5+4+1+3+4+2+0+0+10+6+20+1+2+4+5+70+13+10+10</f>
        <v>231</v>
      </c>
      <c r="C12">
        <f>B12*0.05</f>
        <v>11.55</v>
      </c>
    </row>
    <row r="13" spans="1:22" x14ac:dyDescent="0.25">
      <c r="A13" t="s">
        <v>11</v>
      </c>
      <c r="B13">
        <f>1+5+1+6+6+1+3+10+0+6+16+0+0+4+7+2+6+2+2+5+30+7+60+5+15+14</f>
        <v>214</v>
      </c>
      <c r="C13">
        <f>B13*0.04</f>
        <v>8.56</v>
      </c>
    </row>
    <row r="14" spans="1:22" x14ac:dyDescent="0.25">
      <c r="A14" t="s">
        <v>12</v>
      </c>
      <c r="B14">
        <f>2+7+6+0+0+0+3+13+1+0+1+0+2+1+1+9+35+3+6+3</f>
        <v>93</v>
      </c>
      <c r="C14">
        <f t="shared" ref="C14:C19" si="0">B14*0.01</f>
        <v>0.93</v>
      </c>
    </row>
    <row r="15" spans="1:22" x14ac:dyDescent="0.25">
      <c r="A15" t="s">
        <v>13</v>
      </c>
      <c r="B15">
        <f>22+1+10+25+12+6+0+0+3+1+0+1+3+1+5+1+7+4+8+30+1+2</f>
        <v>143</v>
      </c>
      <c r="C15">
        <f t="shared" si="0"/>
        <v>1.43</v>
      </c>
    </row>
    <row r="16" spans="1:22" x14ac:dyDescent="0.25">
      <c r="A16" t="s">
        <v>14</v>
      </c>
      <c r="B16">
        <f>4+1+4+4+6+0+2+1+1+0+0+0+1+5+3+1+1+2+45+4+1</f>
        <v>86</v>
      </c>
      <c r="C16">
        <f t="shared" si="0"/>
        <v>0.86</v>
      </c>
    </row>
    <row r="17" spans="1:18" x14ac:dyDescent="0.25">
      <c r="A17" t="s">
        <v>15</v>
      </c>
      <c r="B17">
        <f>8+1+1+3+0+0+1+0+2+0+0+4+0+0+2+6+4+50+2+5+10</f>
        <v>99</v>
      </c>
      <c r="C17">
        <f t="shared" si="0"/>
        <v>0.99</v>
      </c>
    </row>
    <row r="18" spans="1:18" x14ac:dyDescent="0.25">
      <c r="A18" t="s">
        <v>16</v>
      </c>
      <c r="B18">
        <f>13+5+10+3+1+3+10+0+0+6+18+5+1+25+0+4+3+3+2+32+20+4+15</f>
        <v>183</v>
      </c>
      <c r="C18">
        <f t="shared" si="0"/>
        <v>1.83</v>
      </c>
    </row>
    <row r="19" spans="1:18" x14ac:dyDescent="0.25">
      <c r="A19" t="s">
        <v>17</v>
      </c>
      <c r="B19">
        <f>1+0+0+0+0+0+0+0+0+0+4+0+0+4+35+3+6+20</f>
        <v>73</v>
      </c>
      <c r="C19">
        <f t="shared" si="0"/>
        <v>0.73</v>
      </c>
    </row>
    <row r="20" spans="1:18" x14ac:dyDescent="0.25">
      <c r="B20" t="s">
        <v>53</v>
      </c>
      <c r="C20">
        <f>SUM(C2:C19)</f>
        <v>76.190000000000012</v>
      </c>
      <c r="E20" t="s">
        <v>53</v>
      </c>
      <c r="F20">
        <f>SUM(F2:F5)</f>
        <v>0.66999999999999993</v>
      </c>
      <c r="H20" t="s">
        <v>53</v>
      </c>
      <c r="I20">
        <f>SUM(I2:I6)</f>
        <v>1.4500000000000002</v>
      </c>
      <c r="K20" t="s">
        <v>53</v>
      </c>
      <c r="L20">
        <f>SUM(L2:L6)</f>
        <v>46.69</v>
      </c>
      <c r="N20" t="s">
        <v>53</v>
      </c>
      <c r="O20">
        <f>SUM(O2:O5)</f>
        <v>0.56000000000000005</v>
      </c>
      <c r="Q20" t="s">
        <v>53</v>
      </c>
      <c r="R20">
        <f>SUM(R2:R4)</f>
        <v>29.2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F4" sqref="F4"/>
    </sheetView>
  </sheetViews>
  <sheetFormatPr defaultRowHeight="15" x14ac:dyDescent="0.25"/>
  <cols>
    <col min="1" max="1" width="26.42578125" bestFit="1" customWidth="1"/>
    <col min="4" max="4" width="27" bestFit="1" customWidth="1"/>
    <col min="7" max="7" width="29" bestFit="1" customWidth="1"/>
    <col min="10" max="10" width="21.85546875" bestFit="1" customWidth="1"/>
    <col min="13" max="13" width="16.42578125" bestFit="1" customWidth="1"/>
    <col min="16" max="16" width="13.42578125" bestFit="1" customWidth="1"/>
    <col min="19" max="19" width="17" bestFit="1" customWidth="1"/>
    <col min="21" max="21" width="21.42578125" bestFit="1" customWidth="1"/>
  </cols>
  <sheetData>
    <row r="1" spans="1:21" x14ac:dyDescent="0.25">
      <c r="A1" s="1" t="s">
        <v>18</v>
      </c>
      <c r="C1" s="1" t="s">
        <v>51</v>
      </c>
      <c r="D1" s="1" t="s">
        <v>19</v>
      </c>
      <c r="F1" s="1" t="s">
        <v>51</v>
      </c>
      <c r="G1" s="1" t="s">
        <v>24</v>
      </c>
      <c r="I1" s="1" t="s">
        <v>51</v>
      </c>
      <c r="J1" s="1" t="s">
        <v>30</v>
      </c>
      <c r="L1" s="1" t="s">
        <v>51</v>
      </c>
      <c r="M1" t="s">
        <v>42</v>
      </c>
      <c r="O1" s="1" t="s">
        <v>51</v>
      </c>
      <c r="P1" s="1" t="s">
        <v>43</v>
      </c>
      <c r="R1" s="1" t="s">
        <v>51</v>
      </c>
      <c r="S1" s="1" t="s">
        <v>47</v>
      </c>
      <c r="U1" s="1" t="s">
        <v>48</v>
      </c>
    </row>
    <row r="2" spans="1:21" x14ac:dyDescent="0.25">
      <c r="A2" t="s">
        <v>0</v>
      </c>
      <c r="B2">
        <f>1+20+85+3+1+2+5</f>
        <v>117</v>
      </c>
      <c r="C2">
        <f>B2*0.01</f>
        <v>1.17</v>
      </c>
      <c r="D2" t="s">
        <v>20</v>
      </c>
      <c r="F2">
        <f>0</f>
        <v>0</v>
      </c>
      <c r="G2" t="s">
        <v>25</v>
      </c>
      <c r="I2">
        <f>0</f>
        <v>0</v>
      </c>
      <c r="J2" t="s">
        <v>31</v>
      </c>
      <c r="K2">
        <f>2+1</f>
        <v>3</v>
      </c>
      <c r="L2">
        <f>K2*0.04</f>
        <v>0.12</v>
      </c>
      <c r="M2" t="s">
        <v>38</v>
      </c>
      <c r="N2">
        <f>1+1</f>
        <v>2</v>
      </c>
      <c r="O2">
        <f>N2*0.01</f>
        <v>0.02</v>
      </c>
      <c r="P2" t="s">
        <v>44</v>
      </c>
      <c r="Q2">
        <f>5+37+6+13+8+1+34</f>
        <v>104</v>
      </c>
      <c r="R2">
        <f>Q2*0.02</f>
        <v>2.08</v>
      </c>
      <c r="T2">
        <f>SUM(C20,F20,I20,L20,O20,R20)</f>
        <v>292.61</v>
      </c>
      <c r="U2">
        <v>22</v>
      </c>
    </row>
    <row r="3" spans="1:21" x14ac:dyDescent="0.25">
      <c r="A3" t="s">
        <v>1</v>
      </c>
      <c r="B3">
        <f>9+14+6+18+25+12+1+30+23</f>
        <v>138</v>
      </c>
      <c r="C3">
        <f>B3*0.01</f>
        <v>1.3800000000000001</v>
      </c>
      <c r="D3" t="s">
        <v>21</v>
      </c>
      <c r="F3">
        <f>0</f>
        <v>0</v>
      </c>
      <c r="G3" t="s">
        <v>26</v>
      </c>
      <c r="H3">
        <f>1+3+3+17+44</f>
        <v>68</v>
      </c>
      <c r="I3">
        <f>H3*0.01</f>
        <v>0.68</v>
      </c>
      <c r="J3" t="s">
        <v>32</v>
      </c>
      <c r="L3">
        <f>0</f>
        <v>0</v>
      </c>
      <c r="M3" t="s">
        <v>39</v>
      </c>
      <c r="O3">
        <f>0</f>
        <v>0</v>
      </c>
      <c r="P3" t="s">
        <v>45</v>
      </c>
      <c r="Q3">
        <f>26+3+4+6+4</f>
        <v>43</v>
      </c>
      <c r="R3">
        <f>Q3*0.03</f>
        <v>1.29</v>
      </c>
    </row>
    <row r="4" spans="1:21" x14ac:dyDescent="0.25">
      <c r="A4" t="s">
        <v>2</v>
      </c>
      <c r="B4">
        <f>2+11+1+3+3+2+1+21+1</f>
        <v>45</v>
      </c>
      <c r="C4">
        <f>B4*0.02</f>
        <v>0.9</v>
      </c>
      <c r="D4" t="s">
        <v>22</v>
      </c>
      <c r="F4">
        <f>0</f>
        <v>0</v>
      </c>
      <c r="G4" t="s">
        <v>27</v>
      </c>
      <c r="H4">
        <f>6+2+12+14+40</f>
        <v>74</v>
      </c>
      <c r="I4">
        <f>H4*0.01</f>
        <v>0.74</v>
      </c>
      <c r="J4" t="s">
        <v>33</v>
      </c>
      <c r="K4">
        <f>5+1+1</f>
        <v>7</v>
      </c>
      <c r="L4">
        <f>K4*0.01</f>
        <v>7.0000000000000007E-2</v>
      </c>
      <c r="M4" t="s">
        <v>40</v>
      </c>
      <c r="O4">
        <f>0</f>
        <v>0</v>
      </c>
      <c r="P4" t="s">
        <v>46</v>
      </c>
      <c r="Q4">
        <f>70+13+35+14+3</f>
        <v>135</v>
      </c>
      <c r="R4">
        <f>Q4*0.02</f>
        <v>2.7</v>
      </c>
    </row>
    <row r="5" spans="1:21" x14ac:dyDescent="0.25">
      <c r="A5" t="s">
        <v>3</v>
      </c>
      <c r="B5">
        <f>2+9+9+3+10+6+1+32+1</f>
        <v>73</v>
      </c>
      <c r="C5">
        <f>B5*0.02</f>
        <v>1.46</v>
      </c>
      <c r="D5" t="s">
        <v>23</v>
      </c>
      <c r="F5">
        <f>0</f>
        <v>0</v>
      </c>
      <c r="G5" t="s">
        <v>28</v>
      </c>
      <c r="H5">
        <f>1</f>
        <v>1</v>
      </c>
      <c r="I5">
        <f>H5*0.01</f>
        <v>0.01</v>
      </c>
      <c r="J5" t="s">
        <v>34</v>
      </c>
      <c r="K5">
        <f>1+1+1+1+1</f>
        <v>5</v>
      </c>
      <c r="L5">
        <f>K5*0.02</f>
        <v>0.1</v>
      </c>
      <c r="M5" t="s">
        <v>41</v>
      </c>
      <c r="N5">
        <f>2+1</f>
        <v>3</v>
      </c>
      <c r="O5">
        <f>N5*0.03</f>
        <v>0.09</v>
      </c>
    </row>
    <row r="6" spans="1:21" x14ac:dyDescent="0.25">
      <c r="A6" t="s">
        <v>4</v>
      </c>
      <c r="B6">
        <f>5+20+3+2+14+11+3+9</f>
        <v>67</v>
      </c>
      <c r="C6">
        <f>B6*0.01</f>
        <v>0.67</v>
      </c>
      <c r="G6" t="s">
        <v>29</v>
      </c>
      <c r="I6">
        <f>0</f>
        <v>0</v>
      </c>
      <c r="J6" t="s">
        <v>35</v>
      </c>
      <c r="K6">
        <f>16+6+20+3+1</f>
        <v>46</v>
      </c>
      <c r="L6">
        <f>K6*5</f>
        <v>230</v>
      </c>
    </row>
    <row r="7" spans="1:21" x14ac:dyDescent="0.25">
      <c r="A7" t="s">
        <v>5</v>
      </c>
      <c r="B7">
        <f>3+20+1+1+5</f>
        <v>30</v>
      </c>
      <c r="C7">
        <f>B7*0.02</f>
        <v>0.6</v>
      </c>
      <c r="J7" t="s">
        <v>36</v>
      </c>
    </row>
    <row r="8" spans="1:21" x14ac:dyDescent="0.25">
      <c r="A8" t="s">
        <v>6</v>
      </c>
      <c r="B8">
        <f>4+12+4+1+2+2+5</f>
        <v>30</v>
      </c>
      <c r="C8">
        <f>B8*0.01</f>
        <v>0.3</v>
      </c>
      <c r="J8" t="s">
        <v>37</v>
      </c>
      <c r="K8">
        <f>2+1</f>
        <v>3</v>
      </c>
    </row>
    <row r="9" spans="1:21" x14ac:dyDescent="0.25">
      <c r="A9" t="s">
        <v>7</v>
      </c>
      <c r="B9">
        <f>3+3+1+2</f>
        <v>9</v>
      </c>
      <c r="C9">
        <f>B9*0.01</f>
        <v>0.09</v>
      </c>
    </row>
    <row r="10" spans="1:21" x14ac:dyDescent="0.25">
      <c r="A10" t="s">
        <v>8</v>
      </c>
      <c r="B10">
        <f>2+2+2+4+2</f>
        <v>12</v>
      </c>
      <c r="C10">
        <f>B10*0.01</f>
        <v>0.12</v>
      </c>
    </row>
    <row r="11" spans="1:21" x14ac:dyDescent="0.25">
      <c r="A11" t="s">
        <v>9</v>
      </c>
      <c r="B11">
        <f>1+20+78+13+80+12+5+112+152</f>
        <v>473</v>
      </c>
      <c r="C11">
        <f>B11*0.03</f>
        <v>14.19</v>
      </c>
    </row>
    <row r="12" spans="1:21" x14ac:dyDescent="0.25">
      <c r="A12" t="s">
        <v>10</v>
      </c>
      <c r="B12">
        <f>13+15+50+20+46+20+116+119</f>
        <v>399</v>
      </c>
      <c r="C12">
        <f>B12*0.05</f>
        <v>19.950000000000003</v>
      </c>
    </row>
    <row r="13" spans="1:21" x14ac:dyDescent="0.25">
      <c r="A13" t="s">
        <v>11</v>
      </c>
      <c r="B13">
        <f>12+15+24+6+25+25+1+112+54</f>
        <v>274</v>
      </c>
      <c r="C13">
        <f>B13*0.04</f>
        <v>10.96</v>
      </c>
    </row>
    <row r="14" spans="1:21" x14ac:dyDescent="0.25">
      <c r="A14" t="s">
        <v>12</v>
      </c>
      <c r="B14">
        <f>2+20+6+1+3+1+17</f>
        <v>50</v>
      </c>
      <c r="C14">
        <f t="shared" ref="C14:C19" si="0">B14*0.01</f>
        <v>0.5</v>
      </c>
    </row>
    <row r="15" spans="1:21" x14ac:dyDescent="0.25">
      <c r="A15" t="s">
        <v>13</v>
      </c>
      <c r="B15">
        <f>5+20+5+12+11+7+1+19</f>
        <v>80</v>
      </c>
      <c r="C15">
        <f t="shared" si="0"/>
        <v>0.8</v>
      </c>
    </row>
    <row r="16" spans="1:21" x14ac:dyDescent="0.25">
      <c r="A16" t="s">
        <v>14</v>
      </c>
      <c r="B16">
        <f>2+2+2+3+1</f>
        <v>10</v>
      </c>
      <c r="C16">
        <f t="shared" si="0"/>
        <v>0.1</v>
      </c>
    </row>
    <row r="17" spans="1:18" x14ac:dyDescent="0.25">
      <c r="A17" t="s">
        <v>15</v>
      </c>
      <c r="B17">
        <f>1+7+8+10+1+9</f>
        <v>36</v>
      </c>
      <c r="C17">
        <f t="shared" si="0"/>
        <v>0.36</v>
      </c>
    </row>
    <row r="18" spans="1:18" x14ac:dyDescent="0.25">
      <c r="A18" t="s">
        <v>16</v>
      </c>
      <c r="B18">
        <f>4+8+4+5+4+2+2+9+19</f>
        <v>57</v>
      </c>
      <c r="C18">
        <f t="shared" si="0"/>
        <v>0.57000000000000006</v>
      </c>
    </row>
    <row r="19" spans="1:18" x14ac:dyDescent="0.25">
      <c r="A19" t="s">
        <v>17</v>
      </c>
      <c r="B19">
        <f>1+18+2+16+2+20</f>
        <v>59</v>
      </c>
      <c r="C19">
        <f t="shared" si="0"/>
        <v>0.59</v>
      </c>
    </row>
    <row r="20" spans="1:18" x14ac:dyDescent="0.25">
      <c r="B20" t="s">
        <v>53</v>
      </c>
      <c r="C20">
        <f>SUM(C2:C19)</f>
        <v>54.71</v>
      </c>
      <c r="E20" t="s">
        <v>53</v>
      </c>
      <c r="F20">
        <f>SUM(F2:F5)</f>
        <v>0</v>
      </c>
      <c r="H20" t="s">
        <v>53</v>
      </c>
      <c r="I20">
        <f>SUM(I2:I6)</f>
        <v>1.43</v>
      </c>
      <c r="K20" t="s">
        <v>53</v>
      </c>
      <c r="L20">
        <f>SUM(L2:L6)</f>
        <v>230.29</v>
      </c>
      <c r="N20" t="s">
        <v>53</v>
      </c>
      <c r="O20">
        <f>SUM(O2:O5)</f>
        <v>0.11</v>
      </c>
      <c r="Q20" t="s">
        <v>53</v>
      </c>
      <c r="R20">
        <f>SUM(R2:R4)</f>
        <v>6.07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S3" sqref="S3"/>
    </sheetView>
  </sheetViews>
  <sheetFormatPr defaultRowHeight="15" x14ac:dyDescent="0.25"/>
  <cols>
    <col min="1" max="1" width="26.42578125" bestFit="1" customWidth="1"/>
    <col min="4" max="4" width="27" bestFit="1" customWidth="1"/>
    <col min="7" max="7" width="29" bestFit="1" customWidth="1"/>
    <col min="10" max="10" width="21.85546875" bestFit="1" customWidth="1"/>
    <col min="13" max="13" width="16.42578125" bestFit="1" customWidth="1"/>
    <col min="16" max="16" width="13.42578125" bestFit="1" customWidth="1"/>
    <col min="19" max="19" width="17" bestFit="1" customWidth="1"/>
    <col min="21" max="21" width="21.42578125" bestFit="1" customWidth="1"/>
  </cols>
  <sheetData>
    <row r="1" spans="1:21" x14ac:dyDescent="0.25">
      <c r="A1" s="1" t="s">
        <v>18</v>
      </c>
      <c r="C1" s="1" t="s">
        <v>51</v>
      </c>
      <c r="D1" s="1" t="s">
        <v>19</v>
      </c>
      <c r="F1" s="1" t="s">
        <v>51</v>
      </c>
      <c r="G1" s="1" t="s">
        <v>24</v>
      </c>
      <c r="I1" s="1" t="s">
        <v>51</v>
      </c>
      <c r="J1" s="1" t="s">
        <v>30</v>
      </c>
      <c r="L1" s="1" t="s">
        <v>51</v>
      </c>
      <c r="M1" t="s">
        <v>42</v>
      </c>
      <c r="O1" s="1" t="s">
        <v>51</v>
      </c>
      <c r="P1" s="1" t="s">
        <v>43</v>
      </c>
      <c r="R1" s="1" t="s">
        <v>51</v>
      </c>
      <c r="S1" s="1" t="s">
        <v>47</v>
      </c>
      <c r="U1" s="1" t="s">
        <v>48</v>
      </c>
    </row>
    <row r="2" spans="1:21" x14ac:dyDescent="0.25">
      <c r="A2" t="s">
        <v>0</v>
      </c>
      <c r="B2">
        <f>1</f>
        <v>1</v>
      </c>
      <c r="C2">
        <f>B2*0.01</f>
        <v>0.01</v>
      </c>
      <c r="D2" t="s">
        <v>20</v>
      </c>
      <c r="F2">
        <f>0</f>
        <v>0</v>
      </c>
      <c r="G2" t="s">
        <v>25</v>
      </c>
      <c r="I2">
        <f>0</f>
        <v>0</v>
      </c>
      <c r="J2" t="s">
        <v>31</v>
      </c>
      <c r="K2">
        <f>5+5</f>
        <v>10</v>
      </c>
      <c r="L2">
        <f>K2*0.04</f>
        <v>0.4</v>
      </c>
      <c r="M2" t="s">
        <v>38</v>
      </c>
      <c r="O2">
        <f>0</f>
        <v>0</v>
      </c>
      <c r="P2" t="s">
        <v>44</v>
      </c>
      <c r="Q2">
        <f>5+5+30+60</f>
        <v>100</v>
      </c>
      <c r="R2">
        <f>Q2*0.02</f>
        <v>2</v>
      </c>
      <c r="S2">
        <f>SUM(C20,F20,I20,L20,O20,R20)</f>
        <v>138.56</v>
      </c>
      <c r="U2">
        <v>27</v>
      </c>
    </row>
    <row r="3" spans="1:21" x14ac:dyDescent="0.25">
      <c r="A3" t="s">
        <v>1</v>
      </c>
      <c r="B3">
        <f>10+5+2+4+50</f>
        <v>71</v>
      </c>
      <c r="C3">
        <f>B3*0.01</f>
        <v>0.71</v>
      </c>
      <c r="D3" t="s">
        <v>21</v>
      </c>
      <c r="F3">
        <f>0</f>
        <v>0</v>
      </c>
      <c r="G3" t="s">
        <v>26</v>
      </c>
      <c r="H3">
        <f>3+3</f>
        <v>6</v>
      </c>
      <c r="I3">
        <f>H3*0.02</f>
        <v>0.12</v>
      </c>
      <c r="J3" t="s">
        <v>32</v>
      </c>
      <c r="K3">
        <f>2+1</f>
        <v>3</v>
      </c>
      <c r="L3">
        <f>K3*0.01</f>
        <v>0.03</v>
      </c>
      <c r="M3" t="s">
        <v>39</v>
      </c>
      <c r="O3">
        <f>0</f>
        <v>0</v>
      </c>
      <c r="P3" t="s">
        <v>45</v>
      </c>
      <c r="Q3">
        <f>1+16</f>
        <v>17</v>
      </c>
      <c r="R3">
        <f>Q3*0.03</f>
        <v>0.51</v>
      </c>
    </row>
    <row r="4" spans="1:21" x14ac:dyDescent="0.25">
      <c r="A4" t="s">
        <v>2</v>
      </c>
      <c r="B4">
        <f>2+21+1+10</f>
        <v>34</v>
      </c>
      <c r="C4">
        <f>B4*0.02</f>
        <v>0.68</v>
      </c>
      <c r="D4" t="s">
        <v>22</v>
      </c>
      <c r="E4">
        <f>5+1+3+2+1+7</f>
        <v>19</v>
      </c>
      <c r="F4">
        <f>E4*0.02</f>
        <v>0.38</v>
      </c>
      <c r="G4" t="s">
        <v>27</v>
      </c>
      <c r="H4">
        <f>1+4+2+1</f>
        <v>8</v>
      </c>
      <c r="I4">
        <f>H4*0.02</f>
        <v>0.16</v>
      </c>
      <c r="J4" t="s">
        <v>33</v>
      </c>
      <c r="L4">
        <f>0</f>
        <v>0</v>
      </c>
      <c r="M4" t="s">
        <v>40</v>
      </c>
      <c r="N4">
        <f>4+3+4</f>
        <v>11</v>
      </c>
      <c r="O4">
        <f>N4*0.03</f>
        <v>0.32999999999999996</v>
      </c>
      <c r="P4" t="s">
        <v>46</v>
      </c>
      <c r="Q4">
        <f>2+5+3+60</f>
        <v>70</v>
      </c>
      <c r="R4">
        <f>Q4*0.02</f>
        <v>1.4000000000000001</v>
      </c>
    </row>
    <row r="5" spans="1:21" x14ac:dyDescent="0.25">
      <c r="A5" t="s">
        <v>3</v>
      </c>
      <c r="B5">
        <f>10+10+16+6</f>
        <v>42</v>
      </c>
      <c r="C5">
        <f>B5*0.02</f>
        <v>0.84</v>
      </c>
      <c r="D5" t="s">
        <v>23</v>
      </c>
      <c r="E5">
        <f>3+1</f>
        <v>4</v>
      </c>
      <c r="F5">
        <f>E5*0.01</f>
        <v>0.04</v>
      </c>
      <c r="G5" t="s">
        <v>28</v>
      </c>
      <c r="H5">
        <f>1+1+5+1</f>
        <v>8</v>
      </c>
      <c r="I5">
        <f>H5*0.02</f>
        <v>0.16</v>
      </c>
      <c r="J5" t="s">
        <v>34</v>
      </c>
      <c r="K5">
        <f>10+7+6+6+6+4+12</f>
        <v>51</v>
      </c>
      <c r="L5">
        <f>K5*0.02</f>
        <v>1.02</v>
      </c>
      <c r="M5" t="s">
        <v>41</v>
      </c>
      <c r="N5">
        <f>3+3+1+2+2</f>
        <v>11</v>
      </c>
      <c r="O5">
        <f>N5*0.03</f>
        <v>0.32999999999999996</v>
      </c>
    </row>
    <row r="6" spans="1:21" x14ac:dyDescent="0.25">
      <c r="A6" t="s">
        <v>4</v>
      </c>
      <c r="B6">
        <f>25+13+14+19+20+80</f>
        <v>171</v>
      </c>
      <c r="C6">
        <f>B6*0.01</f>
        <v>1.71</v>
      </c>
      <c r="G6" t="s">
        <v>29</v>
      </c>
      <c r="H6">
        <f>5</f>
        <v>5</v>
      </c>
      <c r="I6">
        <f>H6*0.01</f>
        <v>0.05</v>
      </c>
      <c r="J6" t="s">
        <v>35</v>
      </c>
      <c r="K6">
        <f>3+10+2+3+5</f>
        <v>23</v>
      </c>
      <c r="L6">
        <f>K6*5</f>
        <v>115</v>
      </c>
    </row>
    <row r="7" spans="1:21" x14ac:dyDescent="0.25">
      <c r="A7" t="s">
        <v>5</v>
      </c>
      <c r="B7">
        <f>1+4+1+19</f>
        <v>25</v>
      </c>
      <c r="C7">
        <f>B7*0.02</f>
        <v>0.5</v>
      </c>
      <c r="J7" t="s">
        <v>36</v>
      </c>
    </row>
    <row r="8" spans="1:21" x14ac:dyDescent="0.25">
      <c r="A8" t="s">
        <v>6</v>
      </c>
      <c r="B8">
        <f>2+5+8+1+8</f>
        <v>24</v>
      </c>
      <c r="C8">
        <f>B8*0.01</f>
        <v>0.24</v>
      </c>
      <c r="J8" t="s">
        <v>37</v>
      </c>
    </row>
    <row r="9" spans="1:21" x14ac:dyDescent="0.25">
      <c r="A9" t="s">
        <v>7</v>
      </c>
      <c r="B9">
        <f>1+9+1+9+7+30</f>
        <v>57</v>
      </c>
      <c r="C9">
        <f>B9*0.01</f>
        <v>0.57000000000000006</v>
      </c>
    </row>
    <row r="10" spans="1:21" x14ac:dyDescent="0.25">
      <c r="A10" t="s">
        <v>8</v>
      </c>
      <c r="B10">
        <f>2+2+3+1+15+2+10</f>
        <v>35</v>
      </c>
      <c r="C10">
        <f>B10*0.01</f>
        <v>0.35000000000000003</v>
      </c>
    </row>
    <row r="11" spans="1:21" x14ac:dyDescent="0.25">
      <c r="A11" t="s">
        <v>9</v>
      </c>
      <c r="B11">
        <f>7+40+7+5+24+57+5+51</f>
        <v>196</v>
      </c>
      <c r="C11">
        <f>B11*0.03</f>
        <v>5.88</v>
      </c>
    </row>
    <row r="12" spans="1:21" x14ac:dyDescent="0.25">
      <c r="A12" t="s">
        <v>10</v>
      </c>
      <c r="B12">
        <f>5+20+5+6+4+7</f>
        <v>47</v>
      </c>
      <c r="C12">
        <f>B12*0.05</f>
        <v>2.35</v>
      </c>
    </row>
    <row r="13" spans="1:21" x14ac:dyDescent="0.25">
      <c r="A13" t="s">
        <v>11</v>
      </c>
      <c r="B13">
        <f>15+4+5+5</f>
        <v>29</v>
      </c>
      <c r="C13">
        <f>B13*0.04</f>
        <v>1.1599999999999999</v>
      </c>
    </row>
    <row r="14" spans="1:21" x14ac:dyDescent="0.25">
      <c r="A14" t="s">
        <v>12</v>
      </c>
      <c r="B14">
        <f>1+6+2+24+2+18</f>
        <v>53</v>
      </c>
      <c r="C14">
        <f t="shared" ref="C14:C19" si="0">B14*0.01</f>
        <v>0.53</v>
      </c>
    </row>
    <row r="15" spans="1:21" x14ac:dyDescent="0.25">
      <c r="A15" t="s">
        <v>13</v>
      </c>
      <c r="B15">
        <f>3+15+2+2+1+8</f>
        <v>31</v>
      </c>
      <c r="C15">
        <f t="shared" si="0"/>
        <v>0.31</v>
      </c>
    </row>
    <row r="16" spans="1:21" x14ac:dyDescent="0.25">
      <c r="A16" t="s">
        <v>14</v>
      </c>
      <c r="B16">
        <f>1</f>
        <v>1</v>
      </c>
      <c r="C16">
        <f t="shared" si="0"/>
        <v>0.01</v>
      </c>
    </row>
    <row r="17" spans="1:18" x14ac:dyDescent="0.25">
      <c r="A17" t="s">
        <v>15</v>
      </c>
      <c r="B17">
        <f>1+4+13+1</f>
        <v>19</v>
      </c>
      <c r="C17">
        <f t="shared" si="0"/>
        <v>0.19</v>
      </c>
    </row>
    <row r="18" spans="1:18" x14ac:dyDescent="0.25">
      <c r="A18" t="s">
        <v>16</v>
      </c>
      <c r="B18">
        <f>2+2+1+12+7</f>
        <v>24</v>
      </c>
      <c r="C18">
        <f t="shared" si="0"/>
        <v>0.24</v>
      </c>
    </row>
    <row r="19" spans="1:18" x14ac:dyDescent="0.25">
      <c r="A19" t="s">
        <v>17</v>
      </c>
      <c r="B19">
        <f>1+10+9+1+14</f>
        <v>35</v>
      </c>
      <c r="C19">
        <f t="shared" si="0"/>
        <v>0.35000000000000003</v>
      </c>
    </row>
    <row r="20" spans="1:18" x14ac:dyDescent="0.25">
      <c r="B20" t="s">
        <v>53</v>
      </c>
      <c r="C20">
        <f>SUM(C2:C19)</f>
        <v>16.63</v>
      </c>
      <c r="E20" t="s">
        <v>53</v>
      </c>
      <c r="F20">
        <f>SUM(F2:F5)</f>
        <v>0.42</v>
      </c>
      <c r="H20" t="s">
        <v>53</v>
      </c>
      <c r="I20">
        <f>SUM(I2:I6)</f>
        <v>0.49000000000000005</v>
      </c>
      <c r="K20" t="s">
        <v>53</v>
      </c>
      <c r="L20">
        <f>SUM(L2:L6)</f>
        <v>116.45</v>
      </c>
      <c r="N20" t="s">
        <v>53</v>
      </c>
      <c r="O20">
        <f>SUM(O2:O5)</f>
        <v>0.65999999999999992</v>
      </c>
      <c r="Q20" t="s">
        <v>53</v>
      </c>
      <c r="R20">
        <f>SUM(R2:R4)</f>
        <v>3.91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D1" workbookViewId="0">
      <selection activeCell="I2" sqref="I2"/>
    </sheetView>
  </sheetViews>
  <sheetFormatPr defaultRowHeight="15" x14ac:dyDescent="0.25"/>
  <cols>
    <col min="1" max="1" width="26.42578125" bestFit="1" customWidth="1"/>
    <col min="4" max="4" width="27" bestFit="1" customWidth="1"/>
    <col min="7" max="7" width="29" bestFit="1" customWidth="1"/>
    <col min="10" max="10" width="21.85546875" bestFit="1" customWidth="1"/>
    <col min="13" max="13" width="16.42578125" bestFit="1" customWidth="1"/>
    <col min="16" max="16" width="13.42578125" bestFit="1" customWidth="1"/>
    <col min="19" max="19" width="17" bestFit="1" customWidth="1"/>
    <col min="21" max="21" width="21.42578125" bestFit="1" customWidth="1"/>
  </cols>
  <sheetData>
    <row r="1" spans="1:21" x14ac:dyDescent="0.25">
      <c r="A1" s="1" t="s">
        <v>18</v>
      </c>
      <c r="B1" t="s">
        <v>50</v>
      </c>
      <c r="C1" t="s">
        <v>49</v>
      </c>
      <c r="D1" s="1" t="s">
        <v>19</v>
      </c>
      <c r="E1" t="s">
        <v>50</v>
      </c>
      <c r="F1" s="1" t="s">
        <v>51</v>
      </c>
      <c r="G1" s="1" t="s">
        <v>24</v>
      </c>
      <c r="H1" t="s">
        <v>52</v>
      </c>
      <c r="I1" s="1" t="s">
        <v>51</v>
      </c>
      <c r="J1" s="1" t="s">
        <v>30</v>
      </c>
      <c r="K1" t="s">
        <v>50</v>
      </c>
      <c r="L1" s="1" t="s">
        <v>51</v>
      </c>
      <c r="M1" t="s">
        <v>42</v>
      </c>
      <c r="N1" t="s">
        <v>50</v>
      </c>
      <c r="O1" s="1" t="s">
        <v>51</v>
      </c>
      <c r="P1" s="1" t="s">
        <v>43</v>
      </c>
      <c r="Q1" t="s">
        <v>50</v>
      </c>
      <c r="R1" s="1" t="s">
        <v>51</v>
      </c>
      <c r="S1" s="1" t="s">
        <v>47</v>
      </c>
      <c r="U1" s="1" t="s">
        <v>48</v>
      </c>
    </row>
    <row r="2" spans="1:21" x14ac:dyDescent="0.25">
      <c r="A2" t="s">
        <v>0</v>
      </c>
      <c r="B2">
        <f>5+25+28+29+15+11+50+6+35+64+36+6+4+10+6+18+5+7</f>
        <v>360</v>
      </c>
      <c r="C2">
        <f>B2*0.01</f>
        <v>3.6</v>
      </c>
      <c r="D2" t="s">
        <v>20</v>
      </c>
      <c r="F2">
        <v>0</v>
      </c>
      <c r="G2" t="s">
        <v>25</v>
      </c>
      <c r="H2">
        <f>1</f>
        <v>1</v>
      </c>
      <c r="I2">
        <f>H2*0.01</f>
        <v>0.01</v>
      </c>
      <c r="J2" t="s">
        <v>31</v>
      </c>
      <c r="K2">
        <f>1+1</f>
        <v>2</v>
      </c>
      <c r="L2">
        <f>K2*0.04</f>
        <v>0.08</v>
      </c>
      <c r="M2" t="s">
        <v>38</v>
      </c>
      <c r="N2">
        <f>1+1+5+1+1+1+2+2+3+5</f>
        <v>22</v>
      </c>
      <c r="O2">
        <f>N2*0.01</f>
        <v>0.22</v>
      </c>
      <c r="P2" t="s">
        <v>44</v>
      </c>
      <c r="Q2">
        <f>17+1+5+1+37+16+4+2+9+3+2+1+3</f>
        <v>101</v>
      </c>
      <c r="R2">
        <f>Q2*0.02</f>
        <v>2.02</v>
      </c>
      <c r="S2">
        <f>SUM(C20,F20,I20,L20,O20,R20)</f>
        <v>109.83000000000001</v>
      </c>
      <c r="U2">
        <f>48</f>
        <v>48</v>
      </c>
    </row>
    <row r="3" spans="1:21" x14ac:dyDescent="0.25">
      <c r="A3" t="s">
        <v>1</v>
      </c>
      <c r="B3">
        <f>25+3+11+3+54+5+25+39+5+60+5+1+8+1</f>
        <v>245</v>
      </c>
      <c r="C3">
        <f>B3*0.01</f>
        <v>2.4500000000000002</v>
      </c>
      <c r="D3" t="s">
        <v>21</v>
      </c>
      <c r="E3">
        <f>1+1+1+1</f>
        <v>4</v>
      </c>
      <c r="F3">
        <f>E3*0.03</f>
        <v>0.12</v>
      </c>
      <c r="G3" t="s">
        <v>26</v>
      </c>
      <c r="H3">
        <f>3+2+3+5+16+7+2+1</f>
        <v>39</v>
      </c>
      <c r="I3">
        <f>H3*0.02</f>
        <v>0.78</v>
      </c>
      <c r="J3" t="s">
        <v>32</v>
      </c>
      <c r="K3">
        <f>41+2+10+2+2+4+1+5+2+1</f>
        <v>70</v>
      </c>
      <c r="L3">
        <f>K3*0.01</f>
        <v>0.70000000000000007</v>
      </c>
      <c r="M3" t="s">
        <v>39</v>
      </c>
      <c r="N3">
        <f>2+1</f>
        <v>3</v>
      </c>
      <c r="O3">
        <f>N3*0.03</f>
        <v>0.09</v>
      </c>
      <c r="P3" t="s">
        <v>45</v>
      </c>
      <c r="Q3">
        <f>11+2+3+5+25+70+11+57+7+13+6+2+3+1+12</f>
        <v>228</v>
      </c>
      <c r="R3">
        <f>Q3*0.03</f>
        <v>6.84</v>
      </c>
    </row>
    <row r="4" spans="1:21" x14ac:dyDescent="0.25">
      <c r="A4" t="s">
        <v>2</v>
      </c>
      <c r="B4">
        <f>1+1+1+7+3</f>
        <v>13</v>
      </c>
      <c r="C4">
        <f>B4*0.02</f>
        <v>0.26</v>
      </c>
      <c r="D4" t="s">
        <v>22</v>
      </c>
      <c r="E4">
        <f>4+3+1+1+1</f>
        <v>10</v>
      </c>
      <c r="F4">
        <f>E4*0.02</f>
        <v>0.2</v>
      </c>
      <c r="G4" t="s">
        <v>27</v>
      </c>
      <c r="H4">
        <f>1+2</f>
        <v>3</v>
      </c>
      <c r="I4">
        <f>H4*0.02</f>
        <v>0.06</v>
      </c>
      <c r="J4" t="s">
        <v>33</v>
      </c>
      <c r="K4">
        <f>10+1+10+2+1+5+2</f>
        <v>31</v>
      </c>
      <c r="L4">
        <f>K4*0.01</f>
        <v>0.31</v>
      </c>
      <c r="M4" t="s">
        <v>40</v>
      </c>
      <c r="O4">
        <v>0</v>
      </c>
      <c r="P4" t="s">
        <v>46</v>
      </c>
      <c r="Q4">
        <f>20+64+21+45+88+45+7+11+73+24+23+1+5+2+65</f>
        <v>494</v>
      </c>
      <c r="R4">
        <f>Q4*0.02</f>
        <v>9.8800000000000008</v>
      </c>
    </row>
    <row r="5" spans="1:21" x14ac:dyDescent="0.25">
      <c r="A5" t="s">
        <v>3</v>
      </c>
      <c r="B5">
        <f>1+1+2+1</f>
        <v>5</v>
      </c>
      <c r="C5">
        <f>B5*0.02</f>
        <v>0.1</v>
      </c>
      <c r="D5" t="s">
        <v>23</v>
      </c>
      <c r="E5">
        <f>1</f>
        <v>1</v>
      </c>
      <c r="F5">
        <f>E5*0.01</f>
        <v>0.01</v>
      </c>
      <c r="G5" t="s">
        <v>28</v>
      </c>
      <c r="H5">
        <f>1+1+5+1+5+5</f>
        <v>18</v>
      </c>
      <c r="I5">
        <f>H5*0.02</f>
        <v>0.36</v>
      </c>
      <c r="J5" t="s">
        <v>34</v>
      </c>
      <c r="K5">
        <f>1+1+3+1+1+6+1+1+5+1</f>
        <v>21</v>
      </c>
      <c r="L5">
        <f>K5*0.02</f>
        <v>0.42</v>
      </c>
      <c r="M5" t="s">
        <v>41</v>
      </c>
      <c r="N5">
        <f>1</f>
        <v>1</v>
      </c>
      <c r="O5">
        <f>N5*0.03</f>
        <v>0.03</v>
      </c>
    </row>
    <row r="6" spans="1:21" x14ac:dyDescent="0.25">
      <c r="A6" t="s">
        <v>4</v>
      </c>
      <c r="B6">
        <f>23+4+16+18+35+10+71+5+80+17+24+37+5+13+25</f>
        <v>383</v>
      </c>
      <c r="C6">
        <f>B6*0.01</f>
        <v>3.83</v>
      </c>
      <c r="G6" t="s">
        <v>29</v>
      </c>
      <c r="H6">
        <f>4+1+4+3+1</f>
        <v>13</v>
      </c>
      <c r="I6">
        <f>H6*0.01</f>
        <v>0.13</v>
      </c>
      <c r="J6" t="s">
        <v>35</v>
      </c>
      <c r="K6">
        <f>4+1+2+2+1</f>
        <v>10</v>
      </c>
      <c r="L6">
        <f>K6*5</f>
        <v>50</v>
      </c>
    </row>
    <row r="7" spans="1:21" x14ac:dyDescent="0.25">
      <c r="A7" t="s">
        <v>5</v>
      </c>
      <c r="B7">
        <f>33+14+10+55+40+1+59+17+83+68+57+92+4+8+21+27+6+30</f>
        <v>625</v>
      </c>
      <c r="C7">
        <f>B7*0.02</f>
        <v>12.5</v>
      </c>
      <c r="J7" t="s">
        <v>36</v>
      </c>
      <c r="L7">
        <v>0</v>
      </c>
    </row>
    <row r="8" spans="1:21" x14ac:dyDescent="0.25">
      <c r="A8" t="s">
        <v>6</v>
      </c>
      <c r="B8">
        <f>2+11+2+12+5+8+8+14</f>
        <v>62</v>
      </c>
      <c r="C8">
        <f>B8*0.01</f>
        <v>0.62</v>
      </c>
      <c r="J8" t="s">
        <v>37</v>
      </c>
      <c r="L8">
        <v>0</v>
      </c>
    </row>
    <row r="9" spans="1:21" x14ac:dyDescent="0.25">
      <c r="A9" t="s">
        <v>7</v>
      </c>
      <c r="B9">
        <f>15+15+15+1+6+14+69+7+34+26+44+18+9+6+2+17+7</f>
        <v>305</v>
      </c>
      <c r="C9">
        <f>B9*0.01</f>
        <v>3.0500000000000003</v>
      </c>
    </row>
    <row r="10" spans="1:21" x14ac:dyDescent="0.25">
      <c r="A10" t="s">
        <v>8</v>
      </c>
      <c r="B10">
        <f>4+1+3+6+8+1+21+9+21+12+11+4+10+2+23+2+5</f>
        <v>143</v>
      </c>
      <c r="C10">
        <f>B10*0.01</f>
        <v>1.43</v>
      </c>
    </row>
    <row r="11" spans="1:21" x14ac:dyDescent="0.25">
      <c r="A11" t="s">
        <v>9</v>
      </c>
      <c r="B11">
        <f>1+5+11+1+4+1+14+1+2+5+4+5+1+6+3+1</f>
        <v>65</v>
      </c>
      <c r="C11">
        <f>B11*0.03</f>
        <v>1.95</v>
      </c>
    </row>
    <row r="12" spans="1:21" x14ac:dyDescent="0.25">
      <c r="A12" t="s">
        <v>10</v>
      </c>
      <c r="B12">
        <f>2+7+21+1+12+10+9</f>
        <v>62</v>
      </c>
      <c r="C12">
        <f>B12*0.05</f>
        <v>3.1</v>
      </c>
    </row>
    <row r="13" spans="1:21" x14ac:dyDescent="0.25">
      <c r="A13" t="s">
        <v>11</v>
      </c>
      <c r="B13">
        <f>0+3+5+2+2+2+1+8+3+3+1</f>
        <v>30</v>
      </c>
      <c r="C13">
        <f>B13*0.04</f>
        <v>1.2</v>
      </c>
    </row>
    <row r="14" spans="1:21" x14ac:dyDescent="0.25">
      <c r="A14" t="s">
        <v>12</v>
      </c>
      <c r="B14">
        <f>4+1+3+1+1+3+1+2+1+4+5+2+5+5</f>
        <v>38</v>
      </c>
      <c r="C14">
        <f t="shared" ref="C14:C19" si="0">B14*0.01</f>
        <v>0.38</v>
      </c>
    </row>
    <row r="15" spans="1:21" x14ac:dyDescent="0.25">
      <c r="A15" t="s">
        <v>13</v>
      </c>
      <c r="B15">
        <f>2+9+1+5+1+20+30+5+7+1+4+2+4+40+7</f>
        <v>138</v>
      </c>
      <c r="C15">
        <f t="shared" si="0"/>
        <v>1.3800000000000001</v>
      </c>
    </row>
    <row r="16" spans="1:21" x14ac:dyDescent="0.25">
      <c r="A16" t="s">
        <v>14</v>
      </c>
      <c r="B16">
        <f>0+2+2+5+15+1+1+3+1+2+6+1</f>
        <v>39</v>
      </c>
      <c r="C16">
        <f t="shared" si="0"/>
        <v>0.39</v>
      </c>
    </row>
    <row r="17" spans="1:18" x14ac:dyDescent="0.25">
      <c r="A17" t="s">
        <v>15</v>
      </c>
      <c r="B17">
        <f>2+1+1+1+1+5+4+2+3</f>
        <v>20</v>
      </c>
      <c r="C17">
        <f t="shared" si="0"/>
        <v>0.2</v>
      </c>
    </row>
    <row r="18" spans="1:18" x14ac:dyDescent="0.25">
      <c r="A18" t="s">
        <v>16</v>
      </c>
      <c r="B18">
        <f>6+10+5+6+9+4+1+2+7+8+3+4+3</f>
        <v>68</v>
      </c>
      <c r="C18">
        <f t="shared" si="0"/>
        <v>0.68</v>
      </c>
    </row>
    <row r="19" spans="1:18" x14ac:dyDescent="0.25">
      <c r="A19" t="s">
        <v>17</v>
      </c>
      <c r="B19">
        <f>5+2+5+7+5+1+7+6+7</f>
        <v>45</v>
      </c>
      <c r="C19">
        <f t="shared" si="0"/>
        <v>0.45</v>
      </c>
    </row>
    <row r="20" spans="1:18" x14ac:dyDescent="0.25">
      <c r="B20" t="s">
        <v>53</v>
      </c>
      <c r="C20">
        <f>SUM(C2:C19)</f>
        <v>37.570000000000014</v>
      </c>
      <c r="E20" t="s">
        <v>53</v>
      </c>
      <c r="F20">
        <f>SUM(F2:F5)</f>
        <v>0.33</v>
      </c>
      <c r="H20" t="s">
        <v>53</v>
      </c>
      <c r="I20">
        <f>SUM(I2:I6)</f>
        <v>1.3399999999999999</v>
      </c>
      <c r="K20" t="s">
        <v>53</v>
      </c>
      <c r="L20">
        <f>SUM(L2:L8)</f>
        <v>51.51</v>
      </c>
      <c r="N20" t="s">
        <v>53</v>
      </c>
      <c r="O20">
        <f>SUM(O2:O5)</f>
        <v>0.33999999999999997</v>
      </c>
      <c r="Q20" t="s">
        <v>53</v>
      </c>
      <c r="R20">
        <f>SUM(R2:R4)</f>
        <v>18.740000000000002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H1" workbookViewId="0">
      <selection activeCell="L2" sqref="L2"/>
    </sheetView>
  </sheetViews>
  <sheetFormatPr defaultRowHeight="15" x14ac:dyDescent="0.25"/>
  <cols>
    <col min="1" max="1" width="26.42578125" bestFit="1" customWidth="1"/>
    <col min="4" max="4" width="27" bestFit="1" customWidth="1"/>
    <col min="7" max="7" width="29" bestFit="1" customWidth="1"/>
    <col min="10" max="10" width="21.85546875" bestFit="1" customWidth="1"/>
    <col min="13" max="13" width="16.42578125" bestFit="1" customWidth="1"/>
    <col min="16" max="16" width="13.42578125" bestFit="1" customWidth="1"/>
    <col min="19" max="19" width="17" bestFit="1" customWidth="1"/>
    <col min="21" max="21" width="21.42578125" bestFit="1" customWidth="1"/>
  </cols>
  <sheetData>
    <row r="1" spans="1:21" x14ac:dyDescent="0.25">
      <c r="A1" s="1" t="s">
        <v>18</v>
      </c>
      <c r="B1" t="s">
        <v>50</v>
      </c>
      <c r="C1" t="s">
        <v>49</v>
      </c>
      <c r="D1" s="1" t="s">
        <v>19</v>
      </c>
      <c r="E1" t="s">
        <v>50</v>
      </c>
      <c r="F1" s="1" t="s">
        <v>51</v>
      </c>
      <c r="G1" s="1" t="s">
        <v>24</v>
      </c>
      <c r="H1" t="s">
        <v>52</v>
      </c>
      <c r="I1" s="1" t="s">
        <v>51</v>
      </c>
      <c r="J1" s="1" t="s">
        <v>30</v>
      </c>
      <c r="K1" t="s">
        <v>50</v>
      </c>
      <c r="L1" s="1" t="s">
        <v>51</v>
      </c>
      <c r="M1" t="s">
        <v>42</v>
      </c>
      <c r="N1" t="s">
        <v>50</v>
      </c>
      <c r="O1" s="1" t="s">
        <v>51</v>
      </c>
      <c r="P1" s="1" t="s">
        <v>43</v>
      </c>
      <c r="Q1" t="s">
        <v>50</v>
      </c>
      <c r="R1" s="1" t="s">
        <v>51</v>
      </c>
      <c r="S1" s="1" t="s">
        <v>47</v>
      </c>
      <c r="U1" s="1" t="s">
        <v>48</v>
      </c>
    </row>
    <row r="2" spans="1:21" x14ac:dyDescent="0.25">
      <c r="A2" t="s">
        <v>0</v>
      </c>
      <c r="B2">
        <f>105+20</f>
        <v>125</v>
      </c>
      <c r="C2">
        <f>B2*0.01</f>
        <v>1.25</v>
      </c>
      <c r="D2" t="s">
        <v>20</v>
      </c>
      <c r="F2">
        <v>0</v>
      </c>
      <c r="G2" t="s">
        <v>25</v>
      </c>
      <c r="H2">
        <f>0</f>
        <v>0</v>
      </c>
      <c r="I2">
        <f>H2*0.01</f>
        <v>0</v>
      </c>
      <c r="J2" t="s">
        <v>31</v>
      </c>
      <c r="K2">
        <f>3+3</f>
        <v>6</v>
      </c>
      <c r="L2">
        <f>K2*0.04</f>
        <v>0.24</v>
      </c>
      <c r="M2" t="s">
        <v>38</v>
      </c>
      <c r="N2">
        <f>20+25</f>
        <v>45</v>
      </c>
      <c r="O2">
        <f>N2*0.01</f>
        <v>0.45</v>
      </c>
      <c r="P2" t="s">
        <v>44</v>
      </c>
      <c r="Q2">
        <f>10</f>
        <v>10</v>
      </c>
      <c r="R2">
        <f>Q2*0.02</f>
        <v>0.2</v>
      </c>
      <c r="S2">
        <f>SUM(C20,F20,I20,L20,O20,R20)</f>
        <v>75.91</v>
      </c>
      <c r="U2">
        <f>21</f>
        <v>21</v>
      </c>
    </row>
    <row r="3" spans="1:21" x14ac:dyDescent="0.25">
      <c r="A3" t="s">
        <v>1</v>
      </c>
      <c r="B3">
        <f>45+22</f>
        <v>67</v>
      </c>
      <c r="C3">
        <f>B3*0.01</f>
        <v>0.67</v>
      </c>
      <c r="D3" t="s">
        <v>21</v>
      </c>
      <c r="E3">
        <f>3</f>
        <v>3</v>
      </c>
      <c r="F3">
        <f>E3*0.03</f>
        <v>0.09</v>
      </c>
      <c r="G3" t="s">
        <v>26</v>
      </c>
      <c r="H3">
        <f>7</f>
        <v>7</v>
      </c>
      <c r="I3">
        <f>H3*0.02</f>
        <v>0.14000000000000001</v>
      </c>
      <c r="J3" t="s">
        <v>32</v>
      </c>
      <c r="K3">
        <f>0+1</f>
        <v>1</v>
      </c>
      <c r="L3">
        <f>K3*0.01</f>
        <v>0.01</v>
      </c>
      <c r="M3" t="s">
        <v>39</v>
      </c>
      <c r="N3">
        <f>2+2</f>
        <v>4</v>
      </c>
      <c r="O3">
        <f>N3*0.03</f>
        <v>0.12</v>
      </c>
      <c r="P3" t="s">
        <v>45</v>
      </c>
      <c r="Q3">
        <f>5</f>
        <v>5</v>
      </c>
      <c r="R3">
        <f>Q3*0.03</f>
        <v>0.15</v>
      </c>
    </row>
    <row r="4" spans="1:21" x14ac:dyDescent="0.25">
      <c r="A4" t="s">
        <v>2</v>
      </c>
      <c r="B4">
        <f>0+2</f>
        <v>2</v>
      </c>
      <c r="C4">
        <f>B4*0.02</f>
        <v>0.04</v>
      </c>
      <c r="D4" t="s">
        <v>22</v>
      </c>
      <c r="E4">
        <f>0</f>
        <v>0</v>
      </c>
      <c r="F4">
        <f>E4*0.02</f>
        <v>0</v>
      </c>
      <c r="G4" t="s">
        <v>27</v>
      </c>
      <c r="H4">
        <f>1</f>
        <v>1</v>
      </c>
      <c r="I4">
        <f>H4*0.02</f>
        <v>0.02</v>
      </c>
      <c r="J4" t="s">
        <v>33</v>
      </c>
      <c r="K4">
        <f>1</f>
        <v>1</v>
      </c>
      <c r="L4">
        <f>K4*0.01</f>
        <v>0.01</v>
      </c>
      <c r="M4" t="s">
        <v>40</v>
      </c>
      <c r="N4">
        <f>1</f>
        <v>1</v>
      </c>
      <c r="O4">
        <v>0</v>
      </c>
      <c r="P4" t="s">
        <v>46</v>
      </c>
      <c r="Q4">
        <f>0</f>
        <v>0</v>
      </c>
      <c r="R4">
        <f>Q4*0.02</f>
        <v>0</v>
      </c>
    </row>
    <row r="5" spans="1:21" x14ac:dyDescent="0.25">
      <c r="A5" t="s">
        <v>3</v>
      </c>
      <c r="B5">
        <f>0+2</f>
        <v>2</v>
      </c>
      <c r="C5">
        <f>B5*0.02</f>
        <v>0.04</v>
      </c>
      <c r="D5" t="s">
        <v>23</v>
      </c>
      <c r="E5">
        <f>0</f>
        <v>0</v>
      </c>
      <c r="F5">
        <f>E5*0.01</f>
        <v>0</v>
      </c>
      <c r="G5" t="s">
        <v>28</v>
      </c>
      <c r="H5">
        <f>0</f>
        <v>0</v>
      </c>
      <c r="I5">
        <f>H5*0.02</f>
        <v>0</v>
      </c>
      <c r="J5" t="s">
        <v>34</v>
      </c>
      <c r="K5">
        <f>0</f>
        <v>0</v>
      </c>
      <c r="L5">
        <f>K5*0.02</f>
        <v>0</v>
      </c>
      <c r="M5" t="s">
        <v>41</v>
      </c>
      <c r="N5">
        <f>60</f>
        <v>60</v>
      </c>
      <c r="O5">
        <f>N5*0.03</f>
        <v>1.7999999999999998</v>
      </c>
    </row>
    <row r="6" spans="1:21" x14ac:dyDescent="0.25">
      <c r="A6" t="s">
        <v>4</v>
      </c>
      <c r="B6">
        <f>39+30</f>
        <v>69</v>
      </c>
      <c r="C6">
        <f>B6*0.01</f>
        <v>0.69000000000000006</v>
      </c>
      <c r="G6" t="s">
        <v>29</v>
      </c>
      <c r="H6">
        <f>0</f>
        <v>0</v>
      </c>
      <c r="I6">
        <f>H6*0.01</f>
        <v>0</v>
      </c>
      <c r="J6" t="s">
        <v>35</v>
      </c>
      <c r="K6">
        <f>4+1+2+2+1</f>
        <v>10</v>
      </c>
      <c r="L6">
        <f>K6*5</f>
        <v>50</v>
      </c>
      <c r="U6">
        <v>771.67</v>
      </c>
    </row>
    <row r="7" spans="1:21" x14ac:dyDescent="0.25">
      <c r="A7" t="s">
        <v>5</v>
      </c>
      <c r="B7">
        <f>25+72</f>
        <v>97</v>
      </c>
      <c r="C7">
        <f>B7*0.02</f>
        <v>1.94</v>
      </c>
      <c r="J7" t="s">
        <v>36</v>
      </c>
      <c r="L7">
        <v>0</v>
      </c>
    </row>
    <row r="8" spans="1:21" x14ac:dyDescent="0.25">
      <c r="A8" t="s">
        <v>6</v>
      </c>
      <c r="B8">
        <f>3+6</f>
        <v>9</v>
      </c>
      <c r="C8">
        <f>B8*0.01</f>
        <v>0.09</v>
      </c>
      <c r="J8" t="s">
        <v>37</v>
      </c>
      <c r="L8">
        <v>0</v>
      </c>
    </row>
    <row r="9" spans="1:21" x14ac:dyDescent="0.25">
      <c r="A9" t="s">
        <v>7</v>
      </c>
      <c r="B9">
        <f>21+20</f>
        <v>41</v>
      </c>
      <c r="C9">
        <f>B9*0.01</f>
        <v>0.41000000000000003</v>
      </c>
    </row>
    <row r="10" spans="1:21" x14ac:dyDescent="0.25">
      <c r="A10" t="s">
        <v>8</v>
      </c>
      <c r="B10">
        <f>15+8</f>
        <v>23</v>
      </c>
      <c r="C10">
        <f>B10*0.01</f>
        <v>0.23</v>
      </c>
    </row>
    <row r="11" spans="1:21" x14ac:dyDescent="0.25">
      <c r="A11" t="s">
        <v>9</v>
      </c>
      <c r="B11">
        <f>140+140</f>
        <v>280</v>
      </c>
      <c r="C11">
        <f>B11*0.03</f>
        <v>8.4</v>
      </c>
    </row>
    <row r="12" spans="1:21" x14ac:dyDescent="0.25">
      <c r="A12" t="s">
        <v>10</v>
      </c>
      <c r="B12">
        <f>40+85</f>
        <v>125</v>
      </c>
      <c r="C12">
        <f>B12*0.05</f>
        <v>6.25</v>
      </c>
    </row>
    <row r="13" spans="1:21" x14ac:dyDescent="0.25">
      <c r="A13" t="s">
        <v>11</v>
      </c>
      <c r="B13">
        <f>17+30</f>
        <v>47</v>
      </c>
      <c r="C13">
        <f>B13*0.04</f>
        <v>1.8800000000000001</v>
      </c>
    </row>
    <row r="14" spans="1:21" x14ac:dyDescent="0.25">
      <c r="A14" t="s">
        <v>12</v>
      </c>
      <c r="B14">
        <f>2+6</f>
        <v>8</v>
      </c>
      <c r="C14">
        <f t="shared" ref="C14:C19" si="0">B14*0.01</f>
        <v>0.08</v>
      </c>
    </row>
    <row r="15" spans="1:21" x14ac:dyDescent="0.25">
      <c r="A15" t="s">
        <v>13</v>
      </c>
      <c r="B15">
        <f>21+2</f>
        <v>23</v>
      </c>
      <c r="C15">
        <f t="shared" si="0"/>
        <v>0.23</v>
      </c>
    </row>
    <row r="16" spans="1:21" x14ac:dyDescent="0.25">
      <c r="A16" t="s">
        <v>14</v>
      </c>
      <c r="B16">
        <f>5+10</f>
        <v>15</v>
      </c>
      <c r="C16">
        <f t="shared" si="0"/>
        <v>0.15</v>
      </c>
    </row>
    <row r="17" spans="1:18" x14ac:dyDescent="0.25">
      <c r="A17" t="s">
        <v>15</v>
      </c>
      <c r="B17">
        <f>1</f>
        <v>1</v>
      </c>
      <c r="C17">
        <f t="shared" si="0"/>
        <v>0.01</v>
      </c>
    </row>
    <row r="18" spans="1:18" x14ac:dyDescent="0.25">
      <c r="A18" t="s">
        <v>16</v>
      </c>
      <c r="B18">
        <f>5+25</f>
        <v>30</v>
      </c>
      <c r="C18">
        <f t="shared" si="0"/>
        <v>0.3</v>
      </c>
    </row>
    <row r="19" spans="1:18" x14ac:dyDescent="0.25">
      <c r="A19" t="s">
        <v>17</v>
      </c>
      <c r="B19">
        <f>2</f>
        <v>2</v>
      </c>
      <c r="C19">
        <f t="shared" si="0"/>
        <v>0.02</v>
      </c>
    </row>
    <row r="20" spans="1:18" x14ac:dyDescent="0.25">
      <c r="B20" t="s">
        <v>53</v>
      </c>
      <c r="C20">
        <f>SUM(C2:C19)</f>
        <v>22.68</v>
      </c>
      <c r="E20" t="s">
        <v>53</v>
      </c>
      <c r="F20">
        <f>SUM(F2:F5)</f>
        <v>0.09</v>
      </c>
      <c r="H20" t="s">
        <v>53</v>
      </c>
      <c r="I20">
        <f>SUM(I2:I6)</f>
        <v>0.16</v>
      </c>
      <c r="K20" t="s">
        <v>53</v>
      </c>
      <c r="L20">
        <f>SUM(L2:L8)</f>
        <v>50.26</v>
      </c>
      <c r="N20" t="s">
        <v>53</v>
      </c>
      <c r="O20">
        <f>SUM(O2:O5)</f>
        <v>2.37</v>
      </c>
      <c r="Q20" t="s">
        <v>53</v>
      </c>
      <c r="R20">
        <f>SUM(R2:R4)</f>
        <v>0.35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N1" workbookViewId="0">
      <selection activeCell="R32" sqref="R32"/>
    </sheetView>
  </sheetViews>
  <sheetFormatPr defaultRowHeight="15" x14ac:dyDescent="0.25"/>
  <cols>
    <col min="1" max="1" width="26.42578125" bestFit="1" customWidth="1"/>
    <col min="4" max="4" width="27" bestFit="1" customWidth="1"/>
    <col min="7" max="7" width="29" bestFit="1" customWidth="1"/>
    <col min="10" max="10" width="21.85546875" bestFit="1" customWidth="1"/>
    <col min="13" max="13" width="16.42578125" bestFit="1" customWidth="1"/>
    <col min="16" max="16" width="13.42578125" bestFit="1" customWidth="1"/>
    <col min="19" max="19" width="17" bestFit="1" customWidth="1"/>
    <col min="21" max="21" width="21.42578125" bestFit="1" customWidth="1"/>
  </cols>
  <sheetData>
    <row r="1" spans="1:21" x14ac:dyDescent="0.25">
      <c r="A1" s="1" t="s">
        <v>18</v>
      </c>
      <c r="B1" t="s">
        <v>50</v>
      </c>
      <c r="C1" t="s">
        <v>49</v>
      </c>
      <c r="D1" s="1" t="s">
        <v>19</v>
      </c>
      <c r="E1" t="s">
        <v>50</v>
      </c>
      <c r="F1" s="1" t="s">
        <v>51</v>
      </c>
      <c r="G1" s="1" t="s">
        <v>24</v>
      </c>
      <c r="H1" t="s">
        <v>52</v>
      </c>
      <c r="I1" s="1" t="s">
        <v>51</v>
      </c>
      <c r="J1" s="1" t="s">
        <v>30</v>
      </c>
      <c r="K1" t="s">
        <v>50</v>
      </c>
      <c r="L1" s="1" t="s">
        <v>51</v>
      </c>
      <c r="M1" t="s">
        <v>42</v>
      </c>
      <c r="N1" t="s">
        <v>50</v>
      </c>
      <c r="O1" s="1" t="s">
        <v>51</v>
      </c>
      <c r="P1" s="1" t="s">
        <v>43</v>
      </c>
      <c r="Q1" t="s">
        <v>50</v>
      </c>
      <c r="R1" s="1" t="s">
        <v>51</v>
      </c>
      <c r="S1" s="1" t="s">
        <v>47</v>
      </c>
      <c r="U1" s="1" t="s">
        <v>48</v>
      </c>
    </row>
    <row r="2" spans="1:21" x14ac:dyDescent="0.25">
      <c r="A2" t="s">
        <v>0</v>
      </c>
      <c r="B2">
        <v>158</v>
      </c>
      <c r="C2">
        <f>B2*0.01</f>
        <v>1.58</v>
      </c>
      <c r="D2" t="s">
        <v>20</v>
      </c>
      <c r="E2">
        <v>3</v>
      </c>
      <c r="F2">
        <f>E2*0.5</f>
        <v>1.5</v>
      </c>
      <c r="G2" t="s">
        <v>25</v>
      </c>
      <c r="H2">
        <v>5</v>
      </c>
      <c r="I2">
        <f>H2*0.01</f>
        <v>0.05</v>
      </c>
      <c r="J2" t="s">
        <v>31</v>
      </c>
      <c r="K2">
        <v>0</v>
      </c>
      <c r="L2">
        <v>0</v>
      </c>
      <c r="M2" t="s">
        <v>38</v>
      </c>
      <c r="N2">
        <v>11</v>
      </c>
      <c r="O2">
        <f>N2*0.01</f>
        <v>0.11</v>
      </c>
      <c r="P2" t="s">
        <v>44</v>
      </c>
      <c r="Q2">
        <v>50</v>
      </c>
      <c r="R2">
        <f>Q2*0.02</f>
        <v>1</v>
      </c>
      <c r="T2">
        <f>SUM(C21,F21,I21,L21,O21,R21)</f>
        <v>85.669999999999987</v>
      </c>
      <c r="U2">
        <v>300</v>
      </c>
    </row>
    <row r="3" spans="1:21" x14ac:dyDescent="0.25">
      <c r="A3" t="s">
        <v>1</v>
      </c>
      <c r="B3">
        <v>182</v>
      </c>
      <c r="C3">
        <f>B3*0.01</f>
        <v>1.82</v>
      </c>
      <c r="D3" t="s">
        <v>21</v>
      </c>
      <c r="E3">
        <v>0</v>
      </c>
      <c r="F3">
        <v>0</v>
      </c>
      <c r="G3" t="s">
        <v>26</v>
      </c>
      <c r="H3">
        <v>6</v>
      </c>
      <c r="I3">
        <f>H3*0.02</f>
        <v>0.12</v>
      </c>
      <c r="J3" t="s">
        <v>32</v>
      </c>
      <c r="K3">
        <v>9</v>
      </c>
      <c r="L3">
        <f>K3*0.01</f>
        <v>0.09</v>
      </c>
      <c r="M3" t="s">
        <v>39</v>
      </c>
      <c r="N3">
        <v>33</v>
      </c>
      <c r="O3">
        <f>N3*0.03</f>
        <v>0.99</v>
      </c>
      <c r="P3" t="s">
        <v>45</v>
      </c>
      <c r="Q3">
        <v>8</v>
      </c>
      <c r="R3">
        <f>Q3*0.03</f>
        <v>0.24</v>
      </c>
    </row>
    <row r="4" spans="1:21" x14ac:dyDescent="0.25">
      <c r="A4" t="s">
        <v>2</v>
      </c>
      <c r="B4">
        <v>20</v>
      </c>
      <c r="C4">
        <f>B4*0.02</f>
        <v>0.4</v>
      </c>
      <c r="D4" t="s">
        <v>22</v>
      </c>
      <c r="E4">
        <v>8</v>
      </c>
      <c r="F4">
        <f>E4*0.02</f>
        <v>0.16</v>
      </c>
      <c r="G4" t="s">
        <v>27</v>
      </c>
      <c r="H4">
        <v>4</v>
      </c>
      <c r="I4">
        <f>H4*0.02</f>
        <v>0.08</v>
      </c>
      <c r="J4" t="s">
        <v>33</v>
      </c>
      <c r="K4">
        <v>66</v>
      </c>
      <c r="L4">
        <f>K4*0.01</f>
        <v>0.66</v>
      </c>
      <c r="M4" t="s">
        <v>40</v>
      </c>
      <c r="N4">
        <v>0</v>
      </c>
      <c r="O4">
        <v>0</v>
      </c>
      <c r="P4" t="s">
        <v>46</v>
      </c>
      <c r="Q4">
        <v>94</v>
      </c>
      <c r="R4">
        <f>Q4*0.02</f>
        <v>1.8800000000000001</v>
      </c>
    </row>
    <row r="5" spans="1:21" x14ac:dyDescent="0.25">
      <c r="A5" t="s">
        <v>3</v>
      </c>
      <c r="B5">
        <v>15</v>
      </c>
      <c r="C5">
        <f>B5*0.02</f>
        <v>0.3</v>
      </c>
      <c r="D5" t="s">
        <v>23</v>
      </c>
      <c r="E5">
        <v>3</v>
      </c>
      <c r="F5">
        <f>E5*0.01</f>
        <v>0.03</v>
      </c>
      <c r="G5" t="s">
        <v>28</v>
      </c>
      <c r="H5">
        <v>10</v>
      </c>
      <c r="I5">
        <f>H5*0.02</f>
        <v>0.2</v>
      </c>
      <c r="J5" t="s">
        <v>34</v>
      </c>
      <c r="K5">
        <v>4</v>
      </c>
      <c r="L5">
        <f>K5*0.02</f>
        <v>0.08</v>
      </c>
      <c r="M5" t="s">
        <v>41</v>
      </c>
      <c r="N5">
        <v>0</v>
      </c>
      <c r="O5">
        <v>0</v>
      </c>
    </row>
    <row r="6" spans="1:21" x14ac:dyDescent="0.25">
      <c r="A6" t="s">
        <v>4</v>
      </c>
      <c r="B6">
        <v>153</v>
      </c>
      <c r="C6">
        <f>B6*0.01</f>
        <v>1.53</v>
      </c>
      <c r="G6" t="s">
        <v>29</v>
      </c>
      <c r="H6">
        <v>9</v>
      </c>
      <c r="I6">
        <f>H6*0.01</f>
        <v>0.09</v>
      </c>
      <c r="J6" t="s">
        <v>35</v>
      </c>
      <c r="K6">
        <v>7</v>
      </c>
      <c r="L6">
        <f>K6*5</f>
        <v>35</v>
      </c>
    </row>
    <row r="7" spans="1:21" x14ac:dyDescent="0.25">
      <c r="A7" t="s">
        <v>5</v>
      </c>
      <c r="B7">
        <v>201</v>
      </c>
      <c r="C7">
        <f>B7*0.02</f>
        <v>4.0200000000000005</v>
      </c>
      <c r="J7" t="s">
        <v>36</v>
      </c>
      <c r="K7">
        <v>0</v>
      </c>
      <c r="L7">
        <v>0</v>
      </c>
    </row>
    <row r="8" spans="1:21" x14ac:dyDescent="0.25">
      <c r="A8" t="s">
        <v>6</v>
      </c>
      <c r="B8">
        <v>100</v>
      </c>
      <c r="C8">
        <f>B8*0.01</f>
        <v>1</v>
      </c>
      <c r="J8" t="s">
        <v>37</v>
      </c>
      <c r="K8">
        <v>6</v>
      </c>
      <c r="L8">
        <v>0</v>
      </c>
    </row>
    <row r="9" spans="1:21" x14ac:dyDescent="0.25">
      <c r="A9" t="s">
        <v>7</v>
      </c>
      <c r="B9">
        <v>102</v>
      </c>
      <c r="C9">
        <f>B9*0.01</f>
        <v>1.02</v>
      </c>
    </row>
    <row r="10" spans="1:21" x14ac:dyDescent="0.25">
      <c r="A10" t="s">
        <v>8</v>
      </c>
      <c r="B10">
        <v>147</v>
      </c>
      <c r="C10">
        <f>B10*0.01</f>
        <v>1.47</v>
      </c>
    </row>
    <row r="11" spans="1:21" x14ac:dyDescent="0.25">
      <c r="A11" t="s">
        <v>9</v>
      </c>
      <c r="B11">
        <v>132</v>
      </c>
      <c r="C11">
        <f>B11*0.03</f>
        <v>3.96</v>
      </c>
    </row>
    <row r="12" spans="1:21" x14ac:dyDescent="0.25">
      <c r="A12" t="s">
        <v>10</v>
      </c>
      <c r="B12">
        <v>178</v>
      </c>
      <c r="C12">
        <f>B12*0.05</f>
        <v>8.9</v>
      </c>
    </row>
    <row r="13" spans="1:21" x14ac:dyDescent="0.25">
      <c r="A13" t="s">
        <v>11</v>
      </c>
      <c r="B13">
        <v>180</v>
      </c>
      <c r="C13">
        <f>B13*0.04</f>
        <v>7.2</v>
      </c>
    </row>
    <row r="14" spans="1:21" x14ac:dyDescent="0.25">
      <c r="A14" t="s">
        <v>12</v>
      </c>
      <c r="B14">
        <v>176</v>
      </c>
      <c r="C14">
        <f>B14*0.01</f>
        <v>1.76</v>
      </c>
    </row>
    <row r="15" spans="1:21" x14ac:dyDescent="0.25">
      <c r="A15" t="s">
        <v>13</v>
      </c>
      <c r="B15">
        <v>180</v>
      </c>
      <c r="C15">
        <f>B15*0.01</f>
        <v>1.8</v>
      </c>
    </row>
    <row r="16" spans="1:21" x14ac:dyDescent="0.25">
      <c r="A16" t="s">
        <v>14</v>
      </c>
      <c r="B16">
        <v>115</v>
      </c>
      <c r="C16">
        <f>B16*0.01</f>
        <v>1.1500000000000001</v>
      </c>
    </row>
    <row r="17" spans="1:18" x14ac:dyDescent="0.25">
      <c r="A17" t="s">
        <v>15</v>
      </c>
      <c r="B17">
        <v>147</v>
      </c>
      <c r="C17">
        <f>B17*0.01</f>
        <v>1.47</v>
      </c>
    </row>
    <row r="18" spans="1:18" x14ac:dyDescent="0.25">
      <c r="A18" t="s">
        <v>16</v>
      </c>
      <c r="B18">
        <v>201</v>
      </c>
      <c r="C18">
        <f>B18*0.01</f>
        <v>2.0100000000000002</v>
      </c>
    </row>
    <row r="19" spans="1:18" x14ac:dyDescent="0.25">
      <c r="A19" t="s">
        <v>17</v>
      </c>
      <c r="B19">
        <v>200</v>
      </c>
      <c r="C19">
        <f>B19*0.01</f>
        <v>2</v>
      </c>
    </row>
    <row r="21" spans="1:18" x14ac:dyDescent="0.25">
      <c r="B21" t="s">
        <v>53</v>
      </c>
      <c r="C21">
        <f>SUM(C2:C19)</f>
        <v>43.389999999999993</v>
      </c>
      <c r="E21" t="s">
        <v>53</v>
      </c>
      <c r="F21">
        <f>SUM(F2:F5)</f>
        <v>1.69</v>
      </c>
      <c r="H21" t="s">
        <v>53</v>
      </c>
      <c r="I21">
        <f>SUM(I2:I6)</f>
        <v>0.54</v>
      </c>
      <c r="K21" t="s">
        <v>53</v>
      </c>
      <c r="L21">
        <f>SUM(L2:L8)</f>
        <v>35.83</v>
      </c>
      <c r="N21" t="s">
        <v>53</v>
      </c>
      <c r="O21">
        <f>SUM(O2:O5)</f>
        <v>1.1000000000000001</v>
      </c>
      <c r="Q21" t="s">
        <v>53</v>
      </c>
      <c r="R21">
        <f>SUM(R2:R4)</f>
        <v>3.12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M1" workbookViewId="0">
      <selection activeCell="Q5" sqref="Q5"/>
    </sheetView>
  </sheetViews>
  <sheetFormatPr defaultRowHeight="15" x14ac:dyDescent="0.25"/>
  <cols>
    <col min="1" max="1" width="26.42578125" bestFit="1" customWidth="1"/>
    <col min="2" max="2" width="6.28515625" bestFit="1" customWidth="1"/>
    <col min="4" max="4" width="27" bestFit="1" customWidth="1"/>
    <col min="7" max="7" width="29" bestFit="1" customWidth="1"/>
    <col min="10" max="10" width="21.85546875" bestFit="1" customWidth="1"/>
    <col min="13" max="13" width="16.85546875" bestFit="1" customWidth="1"/>
    <col min="16" max="16" width="13.42578125" bestFit="1" customWidth="1"/>
    <col min="19" max="19" width="17" bestFit="1" customWidth="1"/>
    <col min="21" max="21" width="21.42578125" bestFit="1" customWidth="1"/>
  </cols>
  <sheetData>
    <row r="1" spans="1:22" x14ac:dyDescent="0.25">
      <c r="A1" s="1" t="s">
        <v>18</v>
      </c>
      <c r="B1" s="1" t="s">
        <v>50</v>
      </c>
      <c r="C1" s="1" t="s">
        <v>54</v>
      </c>
      <c r="D1" s="1" t="s">
        <v>19</v>
      </c>
      <c r="E1" s="1" t="s">
        <v>50</v>
      </c>
      <c r="F1" s="1" t="s">
        <v>51</v>
      </c>
      <c r="G1" s="1" t="s">
        <v>24</v>
      </c>
      <c r="H1" s="1" t="s">
        <v>52</v>
      </c>
      <c r="I1" s="1" t="s">
        <v>51</v>
      </c>
      <c r="J1" s="1" t="s">
        <v>30</v>
      </c>
      <c r="K1" s="1" t="s">
        <v>50</v>
      </c>
      <c r="L1" s="1" t="s">
        <v>51</v>
      </c>
      <c r="M1" s="1" t="s">
        <v>55</v>
      </c>
      <c r="N1" s="1" t="s">
        <v>50</v>
      </c>
      <c r="O1" s="1" t="s">
        <v>51</v>
      </c>
      <c r="P1" s="1" t="s">
        <v>43</v>
      </c>
      <c r="Q1" s="1" t="s">
        <v>50</v>
      </c>
      <c r="R1" s="1" t="s">
        <v>51</v>
      </c>
      <c r="S1" s="1" t="s">
        <v>47</v>
      </c>
      <c r="T1" s="1"/>
      <c r="U1" s="1" t="s">
        <v>48</v>
      </c>
      <c r="V1" s="1"/>
    </row>
    <row r="2" spans="1:22" x14ac:dyDescent="0.25">
      <c r="A2" t="s">
        <v>0</v>
      </c>
      <c r="B2">
        <v>1</v>
      </c>
      <c r="C2">
        <f>B2*0.01</f>
        <v>0.01</v>
      </c>
      <c r="D2" t="s">
        <v>20</v>
      </c>
      <c r="E2">
        <v>6</v>
      </c>
      <c r="F2">
        <f>E2*0.5</f>
        <v>3</v>
      </c>
      <c r="G2" t="s">
        <v>25</v>
      </c>
      <c r="H2">
        <v>0</v>
      </c>
      <c r="I2">
        <f>H2*0.01</f>
        <v>0</v>
      </c>
      <c r="J2" t="s">
        <v>31</v>
      </c>
      <c r="K2">
        <v>1</v>
      </c>
      <c r="L2">
        <f>K2*0.04</f>
        <v>0.04</v>
      </c>
      <c r="M2" t="s">
        <v>38</v>
      </c>
      <c r="N2">
        <v>0</v>
      </c>
      <c r="O2">
        <f>N2*0.01</f>
        <v>0</v>
      </c>
      <c r="P2" t="s">
        <v>44</v>
      </c>
      <c r="Q2">
        <v>6</v>
      </c>
      <c r="R2">
        <f>Q2*0.02</f>
        <v>0.12</v>
      </c>
      <c r="T2">
        <f>SUM(C21,F21,I21,L21,O21,R21)</f>
        <v>22.24</v>
      </c>
      <c r="U2">
        <v>17</v>
      </c>
    </row>
    <row r="3" spans="1:22" x14ac:dyDescent="0.25">
      <c r="A3" t="s">
        <v>1</v>
      </c>
      <c r="B3">
        <v>1</v>
      </c>
      <c r="C3">
        <f>B3*0.01</f>
        <v>0.01</v>
      </c>
      <c r="D3" t="s">
        <v>21</v>
      </c>
      <c r="E3">
        <v>2</v>
      </c>
      <c r="F3">
        <v>0</v>
      </c>
      <c r="G3" t="s">
        <v>26</v>
      </c>
      <c r="H3">
        <v>45</v>
      </c>
      <c r="I3">
        <f>H3*0.02</f>
        <v>0.9</v>
      </c>
      <c r="J3" t="s">
        <v>32</v>
      </c>
      <c r="K3">
        <v>0</v>
      </c>
      <c r="L3">
        <f>K3*0.01</f>
        <v>0</v>
      </c>
      <c r="M3" t="s">
        <v>39</v>
      </c>
      <c r="N3">
        <v>0</v>
      </c>
      <c r="O3">
        <f>N3*0.03</f>
        <v>0</v>
      </c>
      <c r="P3" t="s">
        <v>45</v>
      </c>
      <c r="Q3">
        <v>0</v>
      </c>
      <c r="R3">
        <f>Q3*0.03</f>
        <v>0</v>
      </c>
    </row>
    <row r="4" spans="1:22" x14ac:dyDescent="0.25">
      <c r="A4" t="s">
        <v>2</v>
      </c>
      <c r="B4">
        <v>0</v>
      </c>
      <c r="C4">
        <f>B4*0.02</f>
        <v>0</v>
      </c>
      <c r="D4" t="s">
        <v>22</v>
      </c>
      <c r="E4">
        <v>8</v>
      </c>
      <c r="F4">
        <f>E4*0.02</f>
        <v>0.16</v>
      </c>
      <c r="G4" t="s">
        <v>27</v>
      </c>
      <c r="H4">
        <v>3</v>
      </c>
      <c r="I4">
        <f>H4*0.02</f>
        <v>0.06</v>
      </c>
      <c r="J4" t="s">
        <v>33</v>
      </c>
      <c r="K4">
        <v>0</v>
      </c>
      <c r="L4">
        <f>K4*0.01</f>
        <v>0</v>
      </c>
      <c r="M4" t="s">
        <v>40</v>
      </c>
      <c r="N4">
        <v>0</v>
      </c>
      <c r="O4">
        <v>0</v>
      </c>
      <c r="P4" t="s">
        <v>46</v>
      </c>
      <c r="Q4">
        <v>9</v>
      </c>
      <c r="R4">
        <f>Q4*0.02</f>
        <v>0.18</v>
      </c>
    </row>
    <row r="5" spans="1:22" x14ac:dyDescent="0.25">
      <c r="A5" t="s">
        <v>3</v>
      </c>
      <c r="B5">
        <v>3</v>
      </c>
      <c r="C5">
        <f>B5*0.02</f>
        <v>0.06</v>
      </c>
      <c r="D5" t="s">
        <v>23</v>
      </c>
      <c r="E5">
        <v>1</v>
      </c>
      <c r="F5">
        <f>E5*0.01</f>
        <v>0.01</v>
      </c>
      <c r="G5" t="s">
        <v>28</v>
      </c>
      <c r="H5">
        <v>0</v>
      </c>
      <c r="I5">
        <f>H5*0.02</f>
        <v>0</v>
      </c>
      <c r="J5" t="s">
        <v>34</v>
      </c>
      <c r="K5">
        <v>2</v>
      </c>
      <c r="L5">
        <f>K5*0.02</f>
        <v>0.04</v>
      </c>
      <c r="M5" t="s">
        <v>41</v>
      </c>
      <c r="N5">
        <v>0</v>
      </c>
      <c r="O5">
        <v>0</v>
      </c>
    </row>
    <row r="6" spans="1:22" x14ac:dyDescent="0.25">
      <c r="A6" t="s">
        <v>4</v>
      </c>
      <c r="B6">
        <v>50</v>
      </c>
      <c r="C6">
        <f>B6*0.01</f>
        <v>0.5</v>
      </c>
      <c r="G6" t="s">
        <v>29</v>
      </c>
      <c r="H6">
        <v>0</v>
      </c>
      <c r="I6">
        <f>H6*0.01</f>
        <v>0</v>
      </c>
      <c r="J6" t="s">
        <v>35</v>
      </c>
      <c r="K6">
        <v>3</v>
      </c>
      <c r="L6">
        <f>K6*5</f>
        <v>15</v>
      </c>
    </row>
    <row r="7" spans="1:22" x14ac:dyDescent="0.25">
      <c r="A7" t="s">
        <v>5</v>
      </c>
      <c r="B7">
        <v>0</v>
      </c>
      <c r="C7">
        <f>B7*0.02</f>
        <v>0</v>
      </c>
      <c r="J7" t="s">
        <v>36</v>
      </c>
      <c r="K7">
        <v>0</v>
      </c>
      <c r="L7">
        <v>0</v>
      </c>
    </row>
    <row r="8" spans="1:22" x14ac:dyDescent="0.25">
      <c r="A8" t="s">
        <v>6</v>
      </c>
      <c r="B8">
        <v>1</v>
      </c>
      <c r="C8">
        <f>B8*0.01</f>
        <v>0.01</v>
      </c>
      <c r="J8" t="s">
        <v>37</v>
      </c>
      <c r="K8">
        <v>0</v>
      </c>
      <c r="L8">
        <v>0</v>
      </c>
    </row>
    <row r="9" spans="1:22" x14ac:dyDescent="0.25">
      <c r="A9" t="s">
        <v>7</v>
      </c>
      <c r="B9">
        <v>2</v>
      </c>
      <c r="C9">
        <f>B9*0.01</f>
        <v>0.02</v>
      </c>
    </row>
    <row r="10" spans="1:22" x14ac:dyDescent="0.25">
      <c r="A10" t="s">
        <v>8</v>
      </c>
      <c r="B10">
        <v>3</v>
      </c>
      <c r="C10">
        <f>B10*0.01</f>
        <v>0.03</v>
      </c>
    </row>
    <row r="11" spans="1:22" x14ac:dyDescent="0.25">
      <c r="A11" t="s">
        <v>9</v>
      </c>
      <c r="B11">
        <v>30</v>
      </c>
      <c r="C11">
        <f>B11*0.03</f>
        <v>0.89999999999999991</v>
      </c>
    </row>
    <row r="12" spans="1:22" x14ac:dyDescent="0.25">
      <c r="A12" t="s">
        <v>10</v>
      </c>
      <c r="B12">
        <v>18</v>
      </c>
      <c r="C12">
        <f>B12*0.05</f>
        <v>0.9</v>
      </c>
    </row>
    <row r="13" spans="1:22" x14ac:dyDescent="0.25">
      <c r="A13" t="s">
        <v>11</v>
      </c>
      <c r="B13">
        <v>4</v>
      </c>
      <c r="C13">
        <f>B13*0.04</f>
        <v>0.16</v>
      </c>
    </row>
    <row r="14" spans="1:22" x14ac:dyDescent="0.25">
      <c r="A14" t="s">
        <v>12</v>
      </c>
      <c r="B14">
        <v>1</v>
      </c>
      <c r="C14">
        <f>B14*0.01</f>
        <v>0.01</v>
      </c>
    </row>
    <row r="15" spans="1:22" x14ac:dyDescent="0.25">
      <c r="A15" t="s">
        <v>13</v>
      </c>
      <c r="B15">
        <v>5</v>
      </c>
      <c r="C15">
        <f>B15*0.01</f>
        <v>0.05</v>
      </c>
    </row>
    <row r="16" spans="1:22" x14ac:dyDescent="0.25">
      <c r="A16" t="s">
        <v>14</v>
      </c>
      <c r="B16">
        <v>1</v>
      </c>
      <c r="C16">
        <f>B16*0.01</f>
        <v>0.01</v>
      </c>
    </row>
    <row r="17" spans="1:18" x14ac:dyDescent="0.25">
      <c r="A17" t="s">
        <v>15</v>
      </c>
      <c r="B17">
        <v>2</v>
      </c>
      <c r="C17">
        <f>B17*0.01</f>
        <v>0.02</v>
      </c>
    </row>
    <row r="18" spans="1:18" x14ac:dyDescent="0.25">
      <c r="A18" t="s">
        <v>16</v>
      </c>
      <c r="B18">
        <v>1</v>
      </c>
      <c r="C18">
        <f>B18*0.01</f>
        <v>0.01</v>
      </c>
    </row>
    <row r="19" spans="1:18" x14ac:dyDescent="0.25">
      <c r="A19" t="s">
        <v>17</v>
      </c>
      <c r="B19">
        <v>3</v>
      </c>
      <c r="C19">
        <f>B19*0.01</f>
        <v>0.03</v>
      </c>
    </row>
    <row r="21" spans="1:18" x14ac:dyDescent="0.25">
      <c r="B21" t="s">
        <v>53</v>
      </c>
      <c r="C21">
        <f>SUM(C2:C19)</f>
        <v>2.7299999999999991</v>
      </c>
      <c r="E21" t="s">
        <v>53</v>
      </c>
      <c r="F21">
        <f>SUM(F2:F5)</f>
        <v>3.17</v>
      </c>
      <c r="H21" t="s">
        <v>53</v>
      </c>
      <c r="I21">
        <f>SUM(I2:I6)</f>
        <v>0.96</v>
      </c>
      <c r="K21" t="s">
        <v>53</v>
      </c>
      <c r="L21">
        <f>SUM(L2:L8)</f>
        <v>15.08</v>
      </c>
      <c r="N21" t="s">
        <v>53</v>
      </c>
      <c r="O21">
        <f>SUM(O2:O5)</f>
        <v>0</v>
      </c>
      <c r="Q21" t="s">
        <v>53</v>
      </c>
      <c r="R21">
        <f>SUM(R2:R4)</f>
        <v>0.3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Brewers Bay </vt:lpstr>
      <vt:lpstr>Red Hook Salt Pond </vt:lpstr>
      <vt:lpstr>Hassel Island</vt:lpstr>
      <vt:lpstr>Lindbergh</vt:lpstr>
      <vt:lpstr>Vessup</vt:lpstr>
      <vt:lpstr>Red Hook</vt:lpstr>
      <vt:lpstr>Reef Bay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Howard Forbes</cp:lastModifiedBy>
  <dcterms:created xsi:type="dcterms:W3CDTF">2015-09-19T21:09:23Z</dcterms:created>
  <dcterms:modified xsi:type="dcterms:W3CDTF">2015-11-03T16:12:32Z</dcterms:modified>
</cp:coreProperties>
</file>